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425" tabRatio="732" firstSheet="1" activeTab="1"/>
  </bookViews>
  <sheets>
    <sheet name="Kangatang" sheetId="17" state="veryHidden" r:id="rId1"/>
    <sheet name="DTTS" sheetId="16" r:id="rId2"/>
  </sheets>
  <definedNames>
    <definedName name="_xlnm._FilterDatabase" localSheetId="1" hidden="1">DTTS!$A$8:$AD$8</definedName>
    <definedName name="_xlnm.Print_Area" localSheetId="1">DTTS!$A$1:$Z$80</definedName>
    <definedName name="_xlnm.Print_Titles" localSheetId="1">DTTS!$4:$6</definedName>
  </definedNames>
  <calcPr calcId="145621"/>
</workbook>
</file>

<file path=xl/calcChain.xml><?xml version="1.0" encoding="utf-8"?>
<calcChain xmlns="http://schemas.openxmlformats.org/spreadsheetml/2006/main">
  <c r="V12" i="16" l="1"/>
  <c r="V13" i="16"/>
  <c r="V14" i="16"/>
  <c r="V15" i="16"/>
  <c r="R15" i="16" s="1"/>
  <c r="V16" i="16"/>
  <c r="V17" i="16"/>
  <c r="V18" i="16"/>
  <c r="V19" i="16"/>
  <c r="R19" i="16" s="1"/>
  <c r="V11" i="16"/>
  <c r="AH7" i="16"/>
  <c r="AH5" i="16"/>
  <c r="W39" i="16"/>
  <c r="R13" i="16"/>
  <c r="AA13" i="16" s="1"/>
  <c r="R16" i="16"/>
  <c r="S12" i="16"/>
  <c r="S13" i="16"/>
  <c r="S14" i="16"/>
  <c r="R14" i="16" s="1"/>
  <c r="S15" i="16"/>
  <c r="S16" i="16"/>
  <c r="S17" i="16"/>
  <c r="R17" i="16" s="1"/>
  <c r="S18" i="16"/>
  <c r="R18" i="16" s="1"/>
  <c r="S19" i="16"/>
  <c r="U19" i="16"/>
  <c r="AB19" i="16"/>
  <c r="U14" i="16"/>
  <c r="AB16" i="16"/>
  <c r="AC16" i="16"/>
  <c r="O20" i="16"/>
  <c r="P20" i="16"/>
  <c r="Q20" i="16"/>
  <c r="T20" i="16"/>
  <c r="U20" i="16"/>
  <c r="W20" i="16"/>
  <c r="X20" i="16"/>
  <c r="N22" i="16"/>
  <c r="N23" i="16"/>
  <c r="N24" i="16"/>
  <c r="N25" i="16"/>
  <c r="N20" i="16" s="1"/>
  <c r="N26" i="16"/>
  <c r="N27" i="16"/>
  <c r="N28" i="16"/>
  <c r="N29" i="16"/>
  <c r="N21" i="16"/>
  <c r="AL21" i="16"/>
  <c r="S11" i="16"/>
  <c r="S22" i="16"/>
  <c r="S23" i="16"/>
  <c r="S24" i="16"/>
  <c r="S25" i="16"/>
  <c r="S26" i="16"/>
  <c r="S27" i="16"/>
  <c r="S28" i="16"/>
  <c r="S29" i="16"/>
  <c r="V22" i="16"/>
  <c r="V23" i="16"/>
  <c r="V24" i="16"/>
  <c r="V25" i="16"/>
  <c r="V26" i="16"/>
  <c r="R26" i="16" s="1"/>
  <c r="V27" i="16"/>
  <c r="V28" i="16"/>
  <c r="V29" i="16"/>
  <c r="V21" i="16"/>
  <c r="V20" i="16" s="1"/>
  <c r="AJ21" i="16"/>
  <c r="Y22" i="16"/>
  <c r="Y23" i="16"/>
  <c r="Y20" i="16" s="1"/>
  <c r="Y24" i="16"/>
  <c r="Y25" i="16"/>
  <c r="Y26" i="16"/>
  <c r="Y27" i="16"/>
  <c r="Y28" i="16"/>
  <c r="Y29" i="16"/>
  <c r="Y21" i="16"/>
  <c r="AL22" i="16"/>
  <c r="AL23" i="16"/>
  <c r="AL24" i="16"/>
  <c r="AL25" i="16"/>
  <c r="AL26" i="16"/>
  <c r="AL27" i="16"/>
  <c r="AL28" i="16"/>
  <c r="AL29" i="16"/>
  <c r="AJ22" i="16"/>
  <c r="AJ23" i="16"/>
  <c r="AJ24" i="16"/>
  <c r="AJ25" i="16"/>
  <c r="AJ26" i="16"/>
  <c r="AJ27" i="16"/>
  <c r="AJ28" i="16"/>
  <c r="AJ29" i="16"/>
  <c r="R22" i="16" l="1"/>
  <c r="R27" i="16"/>
  <c r="R12" i="16"/>
  <c r="AA12" i="16" s="1"/>
  <c r="AA14" i="16"/>
  <c r="AA16" i="16"/>
  <c r="AA18" i="16"/>
  <c r="AA15" i="16"/>
  <c r="AA19" i="16"/>
  <c r="AA17" i="16"/>
  <c r="R29" i="16"/>
  <c r="R25" i="16"/>
  <c r="R28" i="16"/>
  <c r="R24" i="16"/>
  <c r="R23" i="16"/>
  <c r="AE22" i="16" l="1"/>
  <c r="AE23" i="16"/>
  <c r="AE24" i="16"/>
  <c r="AE25" i="16"/>
  <c r="AE26" i="16"/>
  <c r="AE27" i="16"/>
  <c r="AE28" i="16"/>
  <c r="AE29" i="16"/>
  <c r="AE21" i="16"/>
  <c r="W33" i="16" l="1"/>
  <c r="V33" i="16" s="1"/>
  <c r="X35" i="16"/>
  <c r="V35" i="16"/>
  <c r="S35" i="16"/>
  <c r="V32" i="16"/>
  <c r="Y33" i="16"/>
  <c r="X33" i="16"/>
  <c r="S33" i="16"/>
  <c r="Y32" i="16"/>
  <c r="U32" i="16"/>
  <c r="S32" i="16" s="1"/>
  <c r="T72" i="16"/>
  <c r="V76" i="16"/>
  <c r="V75" i="16"/>
  <c r="S76" i="16"/>
  <c r="S75" i="16"/>
  <c r="S73" i="16"/>
  <c r="V73" i="16"/>
  <c r="V72" i="16"/>
  <c r="S72" i="16"/>
  <c r="V69" i="16"/>
  <c r="V70" i="16"/>
  <c r="S69" i="16"/>
  <c r="S70" i="16"/>
  <c r="V68" i="16"/>
  <c r="S68" i="16"/>
  <c r="R68" i="16" s="1"/>
  <c r="V66" i="16"/>
  <c r="S66" i="16"/>
  <c r="V64" i="16"/>
  <c r="V63" i="16"/>
  <c r="S64" i="16"/>
  <c r="S63" i="16"/>
  <c r="V60" i="16"/>
  <c r="V61" i="16"/>
  <c r="V59" i="16"/>
  <c r="S61" i="16"/>
  <c r="S59" i="16"/>
  <c r="R59" i="16" s="1"/>
  <c r="Y38" i="16"/>
  <c r="K38" i="16"/>
  <c r="L38" i="16"/>
  <c r="M38" i="16"/>
  <c r="O38" i="16"/>
  <c r="P38" i="16"/>
  <c r="Q38" i="16"/>
  <c r="T38" i="16"/>
  <c r="W38" i="16"/>
  <c r="K42" i="16"/>
  <c r="L42" i="16"/>
  <c r="M42" i="16"/>
  <c r="O42" i="16"/>
  <c r="P42" i="16"/>
  <c r="Q42" i="16"/>
  <c r="T42" i="16"/>
  <c r="W42" i="16"/>
  <c r="Y42" i="16"/>
  <c r="AA44" i="16"/>
  <c r="AD44" i="16" s="1"/>
  <c r="X44" i="16"/>
  <c r="V44" i="16" s="1"/>
  <c r="U44" i="16"/>
  <c r="S44" i="16"/>
  <c r="N44" i="16"/>
  <c r="J44" i="16"/>
  <c r="I44" i="16"/>
  <c r="H44" i="16"/>
  <c r="G44" i="16" s="1"/>
  <c r="AA43" i="16"/>
  <c r="AD43" i="16" s="1"/>
  <c r="X43" i="16"/>
  <c r="U43" i="16"/>
  <c r="U42" i="16" s="1"/>
  <c r="S43" i="16"/>
  <c r="N43" i="16"/>
  <c r="J43" i="16"/>
  <c r="I43" i="16"/>
  <c r="H43" i="16"/>
  <c r="H42" i="16" s="1"/>
  <c r="AA42" i="16"/>
  <c r="AD42" i="16" s="1"/>
  <c r="H45" i="16"/>
  <c r="I45" i="16"/>
  <c r="K45" i="16"/>
  <c r="L45" i="16"/>
  <c r="M45" i="16"/>
  <c r="O45" i="16"/>
  <c r="P45" i="16"/>
  <c r="Q45" i="16"/>
  <c r="U45" i="16"/>
  <c r="X45" i="16"/>
  <c r="Y45" i="16"/>
  <c r="AA45" i="16"/>
  <c r="AD45" i="16" s="1"/>
  <c r="X41" i="16"/>
  <c r="V41" i="16" s="1"/>
  <c r="U41" i="16"/>
  <c r="U38" i="16" s="1"/>
  <c r="J41" i="16"/>
  <c r="J38" i="16" s="1"/>
  <c r="I41" i="16"/>
  <c r="I38" i="16" s="1"/>
  <c r="H41" i="16"/>
  <c r="H38" i="16" s="1"/>
  <c r="AA41" i="16"/>
  <c r="AD41" i="16" s="1"/>
  <c r="S41" i="16"/>
  <c r="N41" i="16"/>
  <c r="H74" i="16"/>
  <c r="K74" i="16"/>
  <c r="L74" i="16"/>
  <c r="M74" i="16"/>
  <c r="O74" i="16"/>
  <c r="P74" i="16"/>
  <c r="Q74" i="16"/>
  <c r="U74" i="16"/>
  <c r="X74" i="16"/>
  <c r="Y74" i="16"/>
  <c r="H71" i="16"/>
  <c r="I71" i="16"/>
  <c r="K71" i="16"/>
  <c r="L71" i="16"/>
  <c r="M71" i="16"/>
  <c r="O71" i="16"/>
  <c r="P71" i="16"/>
  <c r="Q71" i="16"/>
  <c r="T71" i="16"/>
  <c r="U71" i="16"/>
  <c r="W71" i="16"/>
  <c r="X71" i="16"/>
  <c r="Y71" i="16"/>
  <c r="K67" i="16"/>
  <c r="L67" i="16"/>
  <c r="M67" i="16"/>
  <c r="O67" i="16"/>
  <c r="P67" i="16"/>
  <c r="Q67" i="16"/>
  <c r="T67" i="16"/>
  <c r="U67" i="16"/>
  <c r="W67" i="16"/>
  <c r="X67" i="16"/>
  <c r="Y67" i="16"/>
  <c r="H65" i="16"/>
  <c r="I65" i="16"/>
  <c r="J65" i="16"/>
  <c r="K65" i="16"/>
  <c r="L65" i="16"/>
  <c r="M65" i="16"/>
  <c r="O65" i="16"/>
  <c r="P65" i="16"/>
  <c r="Q65" i="16"/>
  <c r="T65" i="16"/>
  <c r="U65" i="16"/>
  <c r="W65" i="16"/>
  <c r="X65" i="16"/>
  <c r="Y65" i="16"/>
  <c r="G65" i="16"/>
  <c r="I62" i="16"/>
  <c r="L62" i="16"/>
  <c r="M62" i="16"/>
  <c r="O62" i="16"/>
  <c r="P62" i="16"/>
  <c r="Q62" i="16"/>
  <c r="T62" i="16"/>
  <c r="U62" i="16"/>
  <c r="W62" i="16"/>
  <c r="X62" i="16"/>
  <c r="Y62" i="16"/>
  <c r="H58" i="16"/>
  <c r="I58" i="16"/>
  <c r="K58" i="16"/>
  <c r="L58" i="16"/>
  <c r="M58" i="16"/>
  <c r="O58" i="16"/>
  <c r="P58" i="16"/>
  <c r="Q58" i="16"/>
  <c r="U58" i="16"/>
  <c r="W58" i="16"/>
  <c r="X58" i="16"/>
  <c r="Y58" i="16"/>
  <c r="H54" i="16"/>
  <c r="I54" i="16"/>
  <c r="K54" i="16"/>
  <c r="L54" i="16"/>
  <c r="M54" i="16"/>
  <c r="O54" i="16"/>
  <c r="P54" i="16"/>
  <c r="Q54" i="16"/>
  <c r="U54" i="16"/>
  <c r="W54" i="16"/>
  <c r="X54" i="16"/>
  <c r="Y54" i="16"/>
  <c r="H49" i="16"/>
  <c r="K49" i="16"/>
  <c r="L49" i="16"/>
  <c r="M49" i="16"/>
  <c r="O49" i="16"/>
  <c r="P49" i="16"/>
  <c r="Q49" i="16"/>
  <c r="T49" i="16"/>
  <c r="U49" i="16"/>
  <c r="W49" i="16"/>
  <c r="X49" i="16"/>
  <c r="Y49" i="16"/>
  <c r="H47" i="16"/>
  <c r="I47" i="16"/>
  <c r="K47" i="16"/>
  <c r="L47" i="16"/>
  <c r="M47" i="16"/>
  <c r="O47" i="16"/>
  <c r="P47" i="16"/>
  <c r="Q47" i="16"/>
  <c r="U47" i="16"/>
  <c r="X47" i="16"/>
  <c r="Y47" i="16"/>
  <c r="I42" i="16" l="1"/>
  <c r="X42" i="16"/>
  <c r="R69" i="16"/>
  <c r="R76" i="16"/>
  <c r="L37" i="16"/>
  <c r="Y37" i="16"/>
  <c r="P37" i="16"/>
  <c r="Q37" i="16"/>
  <c r="R75" i="16"/>
  <c r="R32" i="16"/>
  <c r="R35" i="16"/>
  <c r="R33" i="16"/>
  <c r="R70" i="16"/>
  <c r="X38" i="16"/>
  <c r="X37" i="16" s="1"/>
  <c r="R72" i="16"/>
  <c r="R73" i="16"/>
  <c r="R66" i="16"/>
  <c r="R65" i="16" s="1"/>
  <c r="S65" i="16"/>
  <c r="R64" i="16"/>
  <c r="R63" i="16"/>
  <c r="R61" i="16"/>
  <c r="R44" i="16"/>
  <c r="U37" i="16"/>
  <c r="V43" i="16"/>
  <c r="V42" i="16" s="1"/>
  <c r="M37" i="16"/>
  <c r="J42" i="16"/>
  <c r="G43" i="16"/>
  <c r="G42" i="16" s="1"/>
  <c r="N42" i="16"/>
  <c r="O37" i="16"/>
  <c r="S42" i="16"/>
  <c r="G41" i="16"/>
  <c r="G38" i="16" s="1"/>
  <c r="R41" i="16"/>
  <c r="R43" i="16" l="1"/>
  <c r="R42" i="16" s="1"/>
  <c r="X80" i="16" l="1"/>
  <c r="V80" i="16" s="1"/>
  <c r="U80" i="16"/>
  <c r="S80" i="16" s="1"/>
  <c r="AA21" i="16"/>
  <c r="AA22" i="16"/>
  <c r="AA23" i="16"/>
  <c r="AA24" i="16"/>
  <c r="AA25" i="16"/>
  <c r="AA26" i="16"/>
  <c r="AA27" i="16"/>
  <c r="AA28" i="16"/>
  <c r="AA29" i="16"/>
  <c r="Y11" i="16"/>
  <c r="R11" i="16" s="1"/>
  <c r="AA11" i="16" s="1"/>
  <c r="H79" i="16"/>
  <c r="I79" i="16"/>
  <c r="K79" i="16"/>
  <c r="L79" i="16"/>
  <c r="M79" i="16"/>
  <c r="O79" i="16"/>
  <c r="P79" i="16"/>
  <c r="J80" i="16"/>
  <c r="J79" i="16" s="1"/>
  <c r="G80" i="16"/>
  <c r="G79" i="16" s="1"/>
  <c r="Y10" i="16" l="1"/>
  <c r="AA80" i="16" l="1"/>
  <c r="AD80" i="16" s="1"/>
  <c r="X79" i="16"/>
  <c r="W79" i="16"/>
  <c r="V79" i="16"/>
  <c r="U79" i="16"/>
  <c r="T79" i="16"/>
  <c r="S79" i="16"/>
  <c r="Q80" i="16"/>
  <c r="Y80" i="16" s="1"/>
  <c r="R80" i="16" s="1"/>
  <c r="R79" i="16" s="1"/>
  <c r="AA79" i="16"/>
  <c r="AD79" i="16" s="1"/>
  <c r="N12" i="16"/>
  <c r="N13" i="16"/>
  <c r="N14" i="16"/>
  <c r="N15" i="16"/>
  <c r="N16" i="16"/>
  <c r="N17" i="16"/>
  <c r="N18" i="16"/>
  <c r="N19" i="16"/>
  <c r="N11" i="16"/>
  <c r="N78" i="16"/>
  <c r="N77" i="16"/>
  <c r="N76" i="16"/>
  <c r="N75" i="16"/>
  <c r="N73" i="16"/>
  <c r="N72" i="16"/>
  <c r="N70" i="16"/>
  <c r="N69" i="16"/>
  <c r="N68" i="16"/>
  <c r="N66" i="16"/>
  <c r="N65" i="16" s="1"/>
  <c r="N64" i="16"/>
  <c r="N63" i="16"/>
  <c r="N60" i="16"/>
  <c r="N61" i="16"/>
  <c r="N59" i="16"/>
  <c r="N57" i="16"/>
  <c r="N56" i="16"/>
  <c r="N55" i="16"/>
  <c r="N51" i="16"/>
  <c r="N52" i="16"/>
  <c r="N53" i="16"/>
  <c r="N50" i="16"/>
  <c r="N48" i="16"/>
  <c r="N47" i="16" s="1"/>
  <c r="N46" i="16"/>
  <c r="N45" i="16" s="1"/>
  <c r="N40" i="16"/>
  <c r="N39" i="16"/>
  <c r="N35" i="16"/>
  <c r="N34" i="16" s="1"/>
  <c r="N32" i="16"/>
  <c r="AD31" i="16"/>
  <c r="AD32" i="16"/>
  <c r="AA33" i="16"/>
  <c r="AD33" i="16" s="1"/>
  <c r="AA34" i="16"/>
  <c r="AD34" i="16" s="1"/>
  <c r="AA35" i="16"/>
  <c r="AD35" i="16" s="1"/>
  <c r="AA36" i="16"/>
  <c r="AA37" i="16"/>
  <c r="AD37" i="16" s="1"/>
  <c r="AA38" i="16"/>
  <c r="AD38" i="16" s="1"/>
  <c r="AA40" i="16"/>
  <c r="AD40" i="16" s="1"/>
  <c r="AA46" i="16"/>
  <c r="AD46" i="16" s="1"/>
  <c r="AA47" i="16"/>
  <c r="AD47" i="16" s="1"/>
  <c r="AA48" i="16"/>
  <c r="AD48" i="16" s="1"/>
  <c r="AA49" i="16"/>
  <c r="AD49" i="16" s="1"/>
  <c r="AA50" i="16"/>
  <c r="AD50" i="16" s="1"/>
  <c r="AA51" i="16"/>
  <c r="AD51" i="16" s="1"/>
  <c r="AA52" i="16"/>
  <c r="AD52" i="16" s="1"/>
  <c r="AA53" i="16"/>
  <c r="AD53" i="16" s="1"/>
  <c r="AA54" i="16"/>
  <c r="AD54" i="16" s="1"/>
  <c r="AA55" i="16"/>
  <c r="AD55" i="16" s="1"/>
  <c r="AA56" i="16"/>
  <c r="AD56" i="16" s="1"/>
  <c r="AA57" i="16"/>
  <c r="AA58" i="16"/>
  <c r="AA59" i="16"/>
  <c r="AD59" i="16" s="1"/>
  <c r="AA60" i="16"/>
  <c r="AD60" i="16" s="1"/>
  <c r="AA61" i="16"/>
  <c r="AD61" i="16" s="1"/>
  <c r="AA62" i="16"/>
  <c r="AD62" i="16" s="1"/>
  <c r="AA63" i="16"/>
  <c r="AD63" i="16" s="1"/>
  <c r="AA64" i="16"/>
  <c r="AD64" i="16" s="1"/>
  <c r="AA65" i="16"/>
  <c r="AD65" i="16" s="1"/>
  <c r="AA66" i="16"/>
  <c r="AA67" i="16"/>
  <c r="AD67" i="16" s="1"/>
  <c r="AA68" i="16"/>
  <c r="AD68" i="16" s="1"/>
  <c r="AA69" i="16"/>
  <c r="AD69" i="16" s="1"/>
  <c r="AA70" i="16"/>
  <c r="AD70" i="16" s="1"/>
  <c r="AA71" i="16"/>
  <c r="AD71" i="16" s="1"/>
  <c r="AA72" i="16"/>
  <c r="AD72" i="16" s="1"/>
  <c r="AA73" i="16"/>
  <c r="AD73" i="16" s="1"/>
  <c r="AA74" i="16"/>
  <c r="AA75" i="16"/>
  <c r="AD75" i="16" s="1"/>
  <c r="AA76" i="16"/>
  <c r="AD76" i="16" s="1"/>
  <c r="AA77" i="16"/>
  <c r="AD77" i="16" s="1"/>
  <c r="AA78" i="16"/>
  <c r="AD78" i="16" s="1"/>
  <c r="AA39" i="16"/>
  <c r="AD39" i="16" s="1"/>
  <c r="AD12" i="16"/>
  <c r="AD13" i="16"/>
  <c r="AD14" i="16"/>
  <c r="AD15" i="16"/>
  <c r="AD16" i="16"/>
  <c r="AD17" i="16"/>
  <c r="AD18" i="16"/>
  <c r="AD19" i="16"/>
  <c r="AD21" i="16"/>
  <c r="AD22" i="16"/>
  <c r="AD23" i="16"/>
  <c r="AD24" i="16"/>
  <c r="AD25" i="16"/>
  <c r="AD26" i="16"/>
  <c r="AD27" i="16"/>
  <c r="AD28" i="16"/>
  <c r="AD29" i="16"/>
  <c r="AD57" i="16"/>
  <c r="AD58" i="16"/>
  <c r="AD66" i="16"/>
  <c r="AD74" i="16"/>
  <c r="X36" i="16"/>
  <c r="L36" i="16"/>
  <c r="H20" i="16"/>
  <c r="I20" i="16"/>
  <c r="J20" i="16"/>
  <c r="K20" i="16"/>
  <c r="L20" i="16"/>
  <c r="M20" i="16"/>
  <c r="G20" i="16"/>
  <c r="Y9" i="16"/>
  <c r="H10" i="16"/>
  <c r="I10" i="16"/>
  <c r="J10" i="16"/>
  <c r="K10" i="16"/>
  <c r="L10" i="16"/>
  <c r="M10" i="16"/>
  <c r="O10" i="16"/>
  <c r="P10" i="16"/>
  <c r="Q10" i="16"/>
  <c r="T10" i="16"/>
  <c r="T9" i="16" s="1"/>
  <c r="W10" i="16"/>
  <c r="G10" i="16"/>
  <c r="H34" i="16"/>
  <c r="H30" i="16" s="1"/>
  <c r="I34" i="16"/>
  <c r="I30" i="16" s="1"/>
  <c r="J34" i="16"/>
  <c r="J30" i="16" s="1"/>
  <c r="K34" i="16"/>
  <c r="K30" i="16" s="1"/>
  <c r="L34" i="16"/>
  <c r="L30" i="16" s="1"/>
  <c r="M34" i="16"/>
  <c r="M30" i="16" s="1"/>
  <c r="O34" i="16"/>
  <c r="O30" i="16" s="1"/>
  <c r="P34" i="16"/>
  <c r="P30" i="16" s="1"/>
  <c r="Q34" i="16"/>
  <c r="Q30" i="16" s="1"/>
  <c r="S34" i="16"/>
  <c r="S30" i="16" s="1"/>
  <c r="T34" i="16"/>
  <c r="T30" i="16" s="1"/>
  <c r="U34" i="16"/>
  <c r="U30" i="16" s="1"/>
  <c r="V34" i="16"/>
  <c r="V30" i="16" s="1"/>
  <c r="W34" i="16"/>
  <c r="W30" i="16" s="1"/>
  <c r="X34" i="16"/>
  <c r="X30" i="16" s="1"/>
  <c r="Y34" i="16"/>
  <c r="Y30" i="16" s="1"/>
  <c r="G34" i="16"/>
  <c r="G30" i="16" s="1"/>
  <c r="V40" i="16"/>
  <c r="S40" i="16"/>
  <c r="V39" i="16"/>
  <c r="S39" i="16"/>
  <c r="N30" i="16" l="1"/>
  <c r="N38" i="16"/>
  <c r="V38" i="16"/>
  <c r="S38" i="16"/>
  <c r="W9" i="16"/>
  <c r="O9" i="16"/>
  <c r="J9" i="16"/>
  <c r="M9" i="16"/>
  <c r="I9" i="16"/>
  <c r="P9" i="16"/>
  <c r="K9" i="16"/>
  <c r="L9" i="16"/>
  <c r="L8" i="16" s="1"/>
  <c r="H9" i="16"/>
  <c r="N58" i="16"/>
  <c r="N54" i="16"/>
  <c r="N71" i="16"/>
  <c r="N49" i="16"/>
  <c r="N67" i="16"/>
  <c r="Y79" i="16"/>
  <c r="N62" i="16"/>
  <c r="N74" i="16"/>
  <c r="N80" i="16"/>
  <c r="N79" i="16" s="1"/>
  <c r="Q79" i="16"/>
  <c r="M36" i="16"/>
  <c r="M8" i="16" s="1"/>
  <c r="Q36" i="16"/>
  <c r="U36" i="16"/>
  <c r="P36" i="16"/>
  <c r="Q9" i="16"/>
  <c r="N10" i="16"/>
  <c r="Y36" i="16"/>
  <c r="Y8" i="16" s="1"/>
  <c r="O36" i="16"/>
  <c r="R40" i="16"/>
  <c r="R39" i="16"/>
  <c r="W78" i="16"/>
  <c r="V78" i="16" s="1"/>
  <c r="T78" i="16"/>
  <c r="S78" i="16" s="1"/>
  <c r="R78" i="16" s="1"/>
  <c r="J78" i="16"/>
  <c r="I78" i="16"/>
  <c r="G78" i="16" s="1"/>
  <c r="W77" i="16"/>
  <c r="T77" i="16"/>
  <c r="J77" i="16"/>
  <c r="I77" i="16"/>
  <c r="J76" i="16"/>
  <c r="G76" i="16"/>
  <c r="J75" i="16"/>
  <c r="G75" i="16"/>
  <c r="I74" i="16" l="1"/>
  <c r="AB5" i="16"/>
  <c r="T74" i="16"/>
  <c r="S77" i="16"/>
  <c r="W74" i="16"/>
  <c r="V77" i="16"/>
  <c r="R38" i="16"/>
  <c r="N37" i="16"/>
  <c r="N36" i="16" s="1"/>
  <c r="O8" i="16"/>
  <c r="P8" i="16"/>
  <c r="J74" i="16"/>
  <c r="N9" i="16"/>
  <c r="Q8" i="16"/>
  <c r="V74" i="16"/>
  <c r="G77" i="16"/>
  <c r="G74" i="16" s="1"/>
  <c r="J73" i="16"/>
  <c r="G73" i="16"/>
  <c r="S71" i="16"/>
  <c r="V71" i="16"/>
  <c r="J72" i="16"/>
  <c r="J71" i="16" s="1"/>
  <c r="G72" i="16"/>
  <c r="G71" i="16" s="1"/>
  <c r="R77" i="16" l="1"/>
  <c r="S74" i="16"/>
  <c r="R74" i="16"/>
  <c r="R71" i="16"/>
  <c r="V65" i="16"/>
  <c r="J70" i="16"/>
  <c r="I70" i="16"/>
  <c r="G70" i="16" s="1"/>
  <c r="J69" i="16"/>
  <c r="I69" i="16"/>
  <c r="G69" i="16" s="1"/>
  <c r="J68" i="16"/>
  <c r="I68" i="16"/>
  <c r="H68" i="16"/>
  <c r="H67" i="16" s="1"/>
  <c r="J67" i="16" l="1"/>
  <c r="I67" i="16"/>
  <c r="V67" i="16"/>
  <c r="S67" i="16"/>
  <c r="G68" i="16"/>
  <c r="G67" i="16" s="1"/>
  <c r="J64" i="16"/>
  <c r="G64" i="16"/>
  <c r="K63" i="16"/>
  <c r="H63" i="16"/>
  <c r="H62" i="16" l="1"/>
  <c r="K62" i="16"/>
  <c r="V62" i="16"/>
  <c r="G63" i="16"/>
  <c r="G62" i="16" s="1"/>
  <c r="R67" i="16"/>
  <c r="J63" i="16"/>
  <c r="J62" i="16" s="1"/>
  <c r="K37" i="16" l="1"/>
  <c r="K36" i="16" s="1"/>
  <c r="K8" i="16" s="1"/>
  <c r="H37" i="16"/>
  <c r="H36" i="16" s="1"/>
  <c r="H8" i="16" s="1"/>
  <c r="S62" i="16"/>
  <c r="V57" i="16"/>
  <c r="T57" i="16"/>
  <c r="T54" i="16" s="1"/>
  <c r="J57" i="16"/>
  <c r="G57" i="16"/>
  <c r="V56" i="16"/>
  <c r="S56" i="16"/>
  <c r="J56" i="16"/>
  <c r="G56" i="16"/>
  <c r="J55" i="16"/>
  <c r="G55" i="16"/>
  <c r="J54" i="16" l="1"/>
  <c r="G54" i="16"/>
  <c r="S57" i="16"/>
  <c r="R57" i="16" s="1"/>
  <c r="R62" i="16"/>
  <c r="S55" i="16"/>
  <c r="R56" i="16"/>
  <c r="V55" i="16"/>
  <c r="V54" i="16" s="1"/>
  <c r="S54" i="16" l="1"/>
  <c r="R55" i="16"/>
  <c r="R54" i="16" s="1"/>
  <c r="V58" i="16"/>
  <c r="T60" i="16"/>
  <c r="J60" i="16"/>
  <c r="J59" i="16"/>
  <c r="J58" i="16" s="1"/>
  <c r="G60" i="16"/>
  <c r="G58" i="16" s="1"/>
  <c r="T58" i="16" l="1"/>
  <c r="S60" i="16"/>
  <c r="R60" i="16" s="1"/>
  <c r="S58" i="16"/>
  <c r="V53" i="16"/>
  <c r="S53" i="16"/>
  <c r="J53" i="16"/>
  <c r="I53" i="16"/>
  <c r="G53" i="16" s="1"/>
  <c r="V52" i="16"/>
  <c r="S52" i="16"/>
  <c r="J52" i="16"/>
  <c r="I52" i="16"/>
  <c r="G52" i="16" s="1"/>
  <c r="V51" i="16"/>
  <c r="S51" i="16"/>
  <c r="J51" i="16"/>
  <c r="G51" i="16"/>
  <c r="J50" i="16"/>
  <c r="I50" i="16"/>
  <c r="J49" i="16" l="1"/>
  <c r="I49" i="16"/>
  <c r="R58" i="16"/>
  <c r="S50" i="16"/>
  <c r="S49" i="16" s="1"/>
  <c r="G50" i="16"/>
  <c r="G49" i="16" s="1"/>
  <c r="V50" i="16"/>
  <c r="V49" i="16" s="1"/>
  <c r="R51" i="16"/>
  <c r="R52" i="16"/>
  <c r="R53" i="16"/>
  <c r="R34" i="16"/>
  <c r="R30" i="16" s="1"/>
  <c r="AD30" i="16" s="1"/>
  <c r="I37" i="16" l="1"/>
  <c r="I36" i="16" s="1"/>
  <c r="I8" i="16" s="1"/>
  <c r="R50" i="16"/>
  <c r="R49" i="16" s="1"/>
  <c r="W48" i="16"/>
  <c r="W47" i="16" s="1"/>
  <c r="T48" i="16"/>
  <c r="T47" i="16" s="1"/>
  <c r="J48" i="16"/>
  <c r="J47" i="16" s="1"/>
  <c r="G48" i="16"/>
  <c r="G47" i="16" s="1"/>
  <c r="S48" i="16" l="1"/>
  <c r="S47" i="16" s="1"/>
  <c r="V48" i="16"/>
  <c r="V47" i="16" s="1"/>
  <c r="W45" i="16"/>
  <c r="W37" i="16" s="1"/>
  <c r="T45" i="16"/>
  <c r="T37" i="16" s="1"/>
  <c r="J46" i="16"/>
  <c r="J45" i="16" s="1"/>
  <c r="J37" i="16" s="1"/>
  <c r="G46" i="16"/>
  <c r="G45" i="16" s="1"/>
  <c r="G37" i="16" s="1"/>
  <c r="W36" i="16" l="1"/>
  <c r="AD36" i="16" s="1"/>
  <c r="T36" i="16"/>
  <c r="AE36" i="16" s="1"/>
  <c r="G36" i="16"/>
  <c r="J36" i="16"/>
  <c r="J8" i="16" s="1"/>
  <c r="V46" i="16"/>
  <c r="V45" i="16" s="1"/>
  <c r="V37" i="16" s="1"/>
  <c r="S46" i="16"/>
  <c r="S45" i="16" s="1"/>
  <c r="S37" i="16" s="1"/>
  <c r="R48" i="16"/>
  <c r="R47" i="16" s="1"/>
  <c r="W8" i="16" l="1"/>
  <c r="T8" i="16"/>
  <c r="Z38" i="16"/>
  <c r="S36" i="16"/>
  <c r="V36" i="16"/>
  <c r="R46" i="16"/>
  <c r="R45" i="16" s="1"/>
  <c r="R37" i="16" s="1"/>
  <c r="N8" i="16"/>
  <c r="R36" i="16" l="1"/>
  <c r="G9" i="16"/>
  <c r="G8" i="16" s="1"/>
  <c r="X10" i="16" l="1"/>
  <c r="X9" i="16" s="1"/>
  <c r="AA10" i="16" s="1"/>
  <c r="S10" i="16"/>
  <c r="U10" i="16"/>
  <c r="V10" i="16"/>
  <c r="AB9" i="16" l="1"/>
  <c r="AB7" i="16"/>
  <c r="AB8" i="16" s="1"/>
  <c r="X8" i="16"/>
  <c r="V9" i="16"/>
  <c r="V8" i="16" s="1"/>
  <c r="AB3" i="16" s="1"/>
  <c r="AD11" i="16"/>
  <c r="R10" i="16"/>
  <c r="S21" i="16"/>
  <c r="U9" i="16"/>
  <c r="U8" i="16" s="1"/>
  <c r="AD4" i="16" s="1"/>
  <c r="R21" i="16" l="1"/>
  <c r="R20" i="16" s="1"/>
  <c r="AA20" i="16" s="1"/>
  <c r="AD20" i="16" s="1"/>
  <c r="S20" i="16"/>
  <c r="AC3" i="16"/>
  <c r="AF8" i="16"/>
  <c r="AD5" i="16"/>
  <c r="R9" i="16"/>
  <c r="AA9" i="16" s="1"/>
  <c r="S9" i="16"/>
  <c r="S8" i="16" s="1"/>
  <c r="AB4" i="16" s="1"/>
  <c r="R8" i="16" l="1"/>
  <c r="AB10" i="16"/>
  <c r="AA2" i="16" l="1"/>
  <c r="AA7" i="16"/>
  <c r="AC7" i="16" s="1"/>
  <c r="AD7" i="16" s="1"/>
  <c r="AA8" i="16"/>
</calcChain>
</file>

<file path=xl/sharedStrings.xml><?xml version="1.0" encoding="utf-8"?>
<sst xmlns="http://schemas.openxmlformats.org/spreadsheetml/2006/main" count="323" uniqueCount="193">
  <si>
    <t>Tiểu Dự án 1: Đầu tư cơ sở hạ tầng thiết yếu, phục vụ sản xuất, đời sống trong vùng đồng bào DTTS và MN</t>
  </si>
  <si>
    <t>Dự án 2: Quy hoạch, sắp xếp, bố trí, ổn định dân cư ở những nơi cần thiết</t>
  </si>
  <si>
    <t>Dự án 4: Đầu tư cơ sở hạ tầng thiết yếu, phục vụ sản xuất, đời sống trong vùng đồng bào dân tộc thiểu số và miền núi và các đơn vị sự nghiệp công của lĩnh vực dân tộc</t>
  </si>
  <si>
    <t>Đvt: triệu đồng</t>
  </si>
  <si>
    <t>TT</t>
  </si>
  <si>
    <t>Danh mục công trình</t>
  </si>
  <si>
    <t>Địa điểm xây dựng</t>
  </si>
  <si>
    <t>Thời gian KC-HT</t>
  </si>
  <si>
    <t>Tổng mức đầu tư</t>
  </si>
  <si>
    <t>Kế hoạch vốn trung hạn
 giai đoạn 2021-2025</t>
  </si>
  <si>
    <t>Tổng số (tất cả các nguồn vốn)</t>
  </si>
  <si>
    <t xml:space="preserve">Trong đó: </t>
  </si>
  <si>
    <t>Tổng số</t>
  </si>
  <si>
    <t>Trong đó:</t>
  </si>
  <si>
    <t xml:space="preserve">NSTW </t>
  </si>
  <si>
    <t>NSĐP</t>
  </si>
  <si>
    <t>DỰ ÁN 1: Giải quyết tình trạng thiếu đất ở, nhà ở, đất sản xuất, nước sinh hoạt</t>
  </si>
  <si>
    <t>A</t>
  </si>
  <si>
    <t>B</t>
  </si>
  <si>
    <t>C</t>
  </si>
  <si>
    <t>NS tỉnh</t>
  </si>
  <si>
    <t>NS huyện</t>
  </si>
  <si>
    <t>Chủ đầu tư</t>
  </si>
  <si>
    <t>Quy mô dự kiến</t>
  </si>
  <si>
    <t xml:space="preserve">Hỗ trợ nhà ở </t>
  </si>
  <si>
    <t xml:space="preserve"> Kế  hoạch vốn năm 2024 sau điều chỉnh</t>
  </si>
  <si>
    <t>Tăng</t>
  </si>
  <si>
    <t>Giảm</t>
  </si>
  <si>
    <t>Tổng</t>
  </si>
  <si>
    <t>Hỗ trợ nhà ở (04 hộ)</t>
  </si>
  <si>
    <t>Hỗ trợ nhà ở (10 hộ)</t>
  </si>
  <si>
    <t>Hỗ trợ nhà ở (42 hộ)</t>
  </si>
  <si>
    <t>Hỗ trợ nhà ở (07 hộ)</t>
  </si>
  <si>
    <t>Hỗ trợ nhà ở (30 hộ)</t>
  </si>
  <si>
    <t>UBND xã Ba Liên</t>
  </si>
  <si>
    <t>12 hộ</t>
  </si>
  <si>
    <t>Xã Ba Liên</t>
  </si>
  <si>
    <t>2024-2025</t>
  </si>
  <si>
    <t>UBND thị trấn Ba Tơ</t>
  </si>
  <si>
    <t>Thị trấn Ba Tơ</t>
  </si>
  <si>
    <t>UBND xã Ba Điền</t>
  </si>
  <si>
    <t>50 hộ</t>
  </si>
  <si>
    <t>Xã Ba Điền</t>
  </si>
  <si>
    <t>UBND xã Ba Bích</t>
  </si>
  <si>
    <t>20 hộ</t>
  </si>
  <si>
    <t>xã Ba Bích</t>
  </si>
  <si>
    <t>UBND xã Ba Tô</t>
  </si>
  <si>
    <t>54hộ</t>
  </si>
  <si>
    <t>xã Ba Tô</t>
  </si>
  <si>
    <t>UBND xã Ba Dinh</t>
  </si>
  <si>
    <t>29 hộ</t>
  </si>
  <si>
    <t>xã Ba Dinh</t>
  </si>
  <si>
    <t>UBND xã Ba Giang</t>
  </si>
  <si>
    <t>7 hộ</t>
  </si>
  <si>
    <t>xã Ba Giang</t>
  </si>
  <si>
    <t>UBND xã Ba Ngạc</t>
  </si>
  <si>
    <t>27 hộ</t>
  </si>
  <si>
    <t>xã Ba Ngạc</t>
  </si>
  <si>
    <t>UBND xã Ba Nam</t>
  </si>
  <si>
    <t>42 hộ</t>
  </si>
  <si>
    <t>xã Ba Nam</t>
  </si>
  <si>
    <t>BQL DAĐTXD&amp;PTQĐ</t>
  </si>
  <si>
    <t>2022-2023</t>
  </si>
  <si>
    <t>xã Ba Thành</t>
  </si>
  <si>
    <t>xã Ba Xa</t>
  </si>
  <si>
    <t>2023-2024</t>
  </si>
  <si>
    <t>Nâng cấp, mở rộng tuyến đường thị trấn Ba Tơ - Ba Dinh</t>
  </si>
  <si>
    <t>4,2km</t>
  </si>
  <si>
    <t>Thị trấn Ba Tơ - xã Ba Dinh</t>
  </si>
  <si>
    <t xml:space="preserve"> 2024-2025 </t>
  </si>
  <si>
    <t>Nâng cấp tuyến đường Mang Krá - Gòi Re</t>
  </si>
  <si>
    <t>4,5km</t>
  </si>
  <si>
    <t>Nâng cấp mở rộng nước sinh hoạt Tổ 8 thôn Gò Păng</t>
  </si>
  <si>
    <t>Phòng NN&amp;PTNT</t>
  </si>
  <si>
    <t>79 hộ</t>
  </si>
  <si>
    <t>Nâng cấp mở rộng nước sinh hoạt Thôn Làng Dút</t>
  </si>
  <si>
    <t>Xã Ba Nam</t>
  </si>
  <si>
    <t>Nước sinh hoạt thôn Mang Lùng I xã Ba Tô</t>
  </si>
  <si>
    <t>140 hộ</t>
  </si>
  <si>
    <t>Xã Ba Tô</t>
  </si>
  <si>
    <t>Nước sinh hoạt thôn Hy Long</t>
  </si>
  <si>
    <t>97 hộ</t>
  </si>
  <si>
    <t>Nước sinh hoạt tập trung thôn Gòi Re</t>
  </si>
  <si>
    <t>100 hộ</t>
  </si>
  <si>
    <t>Xã Ba Xa</t>
  </si>
  <si>
    <t>Nước sinh hoạt tập trung Suối Quây, Mang Biều</t>
  </si>
  <si>
    <t>76 hộ</t>
  </si>
  <si>
    <t>Xã Ba Tiêu</t>
  </si>
  <si>
    <t>Nước sinh hoạt xóm Ông Chớt thôn Làng Tốt</t>
  </si>
  <si>
    <t>Xã Ba Lế</t>
  </si>
  <si>
    <t>Nước sinh hoạt thôn Làng Xi 1 xã Ba Tô</t>
  </si>
  <si>
    <t>63 hộ</t>
  </si>
  <si>
    <t>Sữa chữa nâng cấp Nước sinh hoạt tập trung Nước Lô</t>
  </si>
  <si>
    <t>Xã Ba Giang</t>
  </si>
  <si>
    <t>Ba Liên</t>
  </si>
  <si>
    <t>L=248 m</t>
  </si>
  <si>
    <t>Ba Khâm</t>
  </si>
  <si>
    <t>UBND xã Ba Khấm</t>
  </si>
  <si>
    <t>l=0,7km</t>
  </si>
  <si>
    <t>Xã Ba Khâm</t>
  </si>
  <si>
    <t>I</t>
  </si>
  <si>
    <t>17 hộ</t>
  </si>
  <si>
    <t>Khu tái định cư tâp trung tổ 4 thôn Nước Lăng xã Ba Xa</t>
  </si>
  <si>
    <t>BQLDA ĐTXD&amp;PTQĐ</t>
  </si>
  <si>
    <t>25 hộ</t>
  </si>
  <si>
    <t>2023-2025</t>
  </si>
  <si>
    <t>II</t>
  </si>
  <si>
    <t>Bổ sung danh mục</t>
  </si>
  <si>
    <t>Điều chỉnh giảm</t>
  </si>
  <si>
    <t>BTXM đường từ nhà ông Thôn đến nhà ông Láng</t>
  </si>
  <si>
    <t>319 m</t>
  </si>
  <si>
    <t>TDP Uy Năng</t>
  </si>
  <si>
    <t>KCH kênh đồng Mang Tinh</t>
  </si>
  <si>
    <t>300 m</t>
  </si>
  <si>
    <t>TDP Kon Dung</t>
  </si>
  <si>
    <t>Nâng cấp, cải tạo BTXM từ đường Ba Tơ - Ba Bích đi KDC số 3, TDP Kon Dung, thị trấn Ba Tơ</t>
  </si>
  <si>
    <t>730 m</t>
  </si>
  <si>
    <t>Nâng cấp, cải tạo BTXM từ đường thị trấn Ba Tơ - đi Nước Đang, Ba Bích đến nhà ông Phạm Văn Đếch thuộc TDP Đá Bàn, thị trấn Ba Tơ</t>
  </si>
  <si>
    <t>170 m</t>
  </si>
  <si>
    <t>TDP Đá Bàn</t>
  </si>
  <si>
    <t>Nối tiếp BTXM đường GTNT tuyến từ Tổ 3 đi tổ 4 Kách Lang</t>
  </si>
  <si>
    <t>Kiên cố hóa Kênh Ma Mang 1,2 thôn Làng Măng</t>
  </si>
  <si>
    <t>Ba Dinh</t>
  </si>
  <si>
    <t>Nâng cấp và BTXM đường GTNT tuyến từ Tổ 1 Nước Lang ( Đồng Xa)- Tổ 3 Kách Lang</t>
  </si>
  <si>
    <t>1,5km</t>
  </si>
  <si>
    <t>1,4km</t>
  </si>
  <si>
    <t>0,3km</t>
  </si>
  <si>
    <t>BTXM tuyến đường từ ngã ba Hành Tín Tây đến nhà bà Nguyệt</t>
  </si>
  <si>
    <t>BTXM tuyến đường trường tiểu học đến nhà bà Tám Thu</t>
  </si>
  <si>
    <t>Nối tiếp KCH Kênh ruộng Y Nâu</t>
  </si>
  <si>
    <t>Xã Ba Thành</t>
  </si>
  <si>
    <t>UBND xã Ba Thành</t>
  </si>
  <si>
    <t>500m</t>
  </si>
  <si>
    <t>0,7km</t>
  </si>
  <si>
    <t>320m</t>
  </si>
  <si>
    <t>BTXM  nối tiếp UBND Xã đi Làng Vờ</t>
  </si>
  <si>
    <t>BTXM  nối tiếp UBND Xã đi Mang Tương</t>
  </si>
  <si>
    <t>Xã Ba Ngạc</t>
  </si>
  <si>
    <t>Nhà văn hóa thôn Đồng Vào</t>
  </si>
  <si>
    <t>Tường rào, cổng ngõ Nhà văn hóa thôn Nước Đang, Con Rã</t>
  </si>
  <si>
    <t>Đập và kênh Nước Bum thôn Nước Đang</t>
  </si>
  <si>
    <t>Xã Ba Bích</t>
  </si>
  <si>
    <t>Nâng cấp mở rộng tuyến đường Ba Lăng, Tà Noát</t>
  </si>
  <si>
    <t>1,6km</t>
  </si>
  <si>
    <t xml:space="preserve"> xã Ba Ngạc</t>
  </si>
  <si>
    <t>Nhà văn hóa thôn Ba Nhà</t>
  </si>
  <si>
    <t xml:space="preserve"> xã Ba Giang</t>
  </si>
  <si>
    <t>Tối thiểu 100 chỗ ngồi</t>
  </si>
  <si>
    <t>Tường rào, cổng ngõ</t>
  </si>
  <si>
    <t xml:space="preserve">Đập và kênh </t>
  </si>
  <si>
    <t>Nối tiếp BTXM Nước Lô - Gòn Khôn</t>
  </si>
  <si>
    <t>0,9km</t>
  </si>
  <si>
    <t>Đường BTXM đi Làng Danh (Làng Mạ)</t>
  </si>
  <si>
    <t>Làng Mạ</t>
  </si>
  <si>
    <t>Đường BTXM đi xóm Nước Đi (Làng Mạ)</t>
  </si>
  <si>
    <t>Đường BTXM từ cầu treo - Làng Chai 2(Làng Xi 2)</t>
  </si>
  <si>
    <t>Làng Xi 2</t>
  </si>
  <si>
    <t>Đường BTXM vào xóm Mang KaRế, thôn Trà Nô</t>
  </si>
  <si>
    <t>Trà Nô</t>
  </si>
  <si>
    <t>800m</t>
  </si>
  <si>
    <t>340m</t>
  </si>
  <si>
    <t>650m</t>
  </si>
  <si>
    <t>BQL DA ĐTXD&amp;PTQĐ</t>
  </si>
  <si>
    <t>Nối tiếp tuyến đường BTXM từ 
nghĩa địa đi cánh đồng Đồng Nghệ</t>
  </si>
  <si>
    <t>Kế hoạch vốn đầu tư công đã phân bổ năm 2024 (gồm 2023 kéo dài sang *)</t>
  </si>
  <si>
    <t>Nước sinh hoạt tập trung (* ngân sách TƯ và ngân sách tỉnh là vốn kéo dài)</t>
  </si>
  <si>
    <t>D</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</si>
  <si>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</si>
  <si>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 (Chưa phân bổ)</t>
  </si>
  <si>
    <t>TỔNG CỘNG (A+B+C+D)</t>
  </si>
  <si>
    <t>nt</t>
  </si>
  <si>
    <t>Trường TH&amp;THCS Ba Lế; hạng mục: Nhà hiệu bộ, công trình phụ trợ, thiết bị</t>
  </si>
  <si>
    <t>Dân dụng, cấp III</t>
  </si>
  <si>
    <t>xã Ba Lế</t>
  </si>
  <si>
    <t>Cắt giảm</t>
  </si>
  <si>
    <t>Ba Lế</t>
  </si>
  <si>
    <t>BTXM  ngã ba nhà Ông Gây đi nhà Ông Kéo</t>
  </si>
  <si>
    <t>Đập và kênh Nước Cốp</t>
  </si>
  <si>
    <t>UBND xã Ba Lế</t>
  </si>
  <si>
    <t>440m</t>
  </si>
  <si>
    <t>Đập dài 15m, kênh dài 300m</t>
  </si>
  <si>
    <t xml:space="preserve">Nối tiếp tuyến BTXM trường Mầm non Hố sâu- Gò Rốc </t>
  </si>
  <si>
    <t>Ghi chú</t>
  </si>
  <si>
    <t>Để lại chưa phân bổ chi tiết vì công trình chưa đủ điều kiện phân bổ năm 2024</t>
  </si>
  <si>
    <t>Hhỗ trợ nhà ở cho các hộ dân di dời về khu tái định cư tập trung Trà Nô xã Ba Tô</t>
  </si>
  <si>
    <t>TƯ</t>
  </si>
  <si>
    <t>Tinh</t>
  </si>
  <si>
    <t>Giảm kế hoạch vốn kéo dài</t>
  </si>
  <si>
    <t>Hỗ trợ nhà ở (03 hộ)</t>
  </si>
  <si>
    <t>Hỗ trợ nhà ở (12 hộ)</t>
  </si>
  <si>
    <t>Hỗ trợ nhà ở (27 hộ)</t>
  </si>
  <si>
    <t xml:space="preserve">KẾ HOẠCH ĐIỀU CHỈNH VỐN ĐẦU TƯ CÔNG NĂM 2024 (BAO GỒM NĂM 2023 KÉO DÀI SANG)
THỰC HIỆN CHƯƠNG TRÌNH MỤC TIÊU QUỐC GIA PHÁT TRIỂN KINH TẾ XÃ HỘI VÙNG ĐỒNG BÀO  DÂN TỘC THIỂU SỐ VÀ MIỀN NÚI; NGUỒN VỐN: NGÂN SÁCH TRUNG ƯƠNG, NGÂN SÁCH TỈNH, NGÂN SÁCH HUYỆN
</t>
  </si>
  <si>
    <t>(Kèm theo Nghị quyết số      /NQ-HĐND ngày     /11/2024 của HĐND huyện Ba Tơ)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</si>
</sst>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_(* \(#,##0.00\);_(* &quot;-&quot;??_);_(@_)"/>
    <numFmt numFmtId="165" formatCode="_-* #,##0.00_-;\-* #,##0.00_-;_-* &quot;-&quot;??_-;_-@_-"/>
    <numFmt numFmtId="166" formatCode="_(* #,##0_);_(* \(#,##0\);_(* &quot;-&quot;??_);_(@_)"/>
    <numFmt numFmtId="167" formatCode="#,##0.000_);\(#,##0.000\)"/>
    <numFmt numFmtId="168" formatCode="#,##0.000"/>
    <numFmt numFmtId="169" formatCode="_-* #,##0.00\ _$_-;\-* #,##0.00\ _$_-;_-* &quot;-&quot;??\ _$_-;_-@_-"/>
  </numFmts>
  <fonts count="27"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8"/>
      <name val="Arial"/>
      <family val="2"/>
      <charset val="163"/>
    </font>
    <font>
      <sz val="11"/>
      <color theme="1"/>
      <name val="Calibri"/>
      <family val="2"/>
    </font>
    <font>
      <sz val="11"/>
      <color theme="1"/>
      <name val="Arial"/>
      <family val="2"/>
      <charset val="163"/>
      <scheme val="minor"/>
    </font>
    <font>
      <b/>
      <i/>
      <sz val="11"/>
      <name val="Times New Roman"/>
      <family val="1"/>
    </font>
    <font>
      <sz val="11"/>
      <name val="Arial"/>
      <family val="2"/>
      <scheme val="minor"/>
    </font>
    <font>
      <b/>
      <sz val="13"/>
      <name val="Times New Roman"/>
      <family val="1"/>
    </font>
    <font>
      <i/>
      <sz val="13"/>
      <name val="Times New Roman"/>
      <family val="1"/>
    </font>
    <font>
      <i/>
      <sz val="11"/>
      <name val="Times New Roman"/>
      <family val="1"/>
    </font>
    <font>
      <b/>
      <i/>
      <sz val="11"/>
      <color rgb="FFFF0000"/>
      <name val="Times New Roman"/>
      <family val="1"/>
    </font>
    <font>
      <sz val="11"/>
      <color rgb="FFFF0000"/>
      <name val="Arial"/>
      <family val="2"/>
      <scheme val="minor"/>
    </font>
    <font>
      <b/>
      <i/>
      <sz val="8"/>
      <name val="Arial"/>
      <family val="2"/>
      <scheme val="minor"/>
    </font>
    <font>
      <sz val="8"/>
      <name val="Arial"/>
      <family val="2"/>
      <scheme val="minor"/>
    </font>
    <font>
      <i/>
      <sz val="8"/>
      <name val="Arial"/>
      <family val="2"/>
      <scheme val="minor"/>
    </font>
    <font>
      <b/>
      <sz val="7"/>
      <name val="Times New Roman"/>
      <family val="1"/>
    </font>
    <font>
      <sz val="7"/>
      <name val="Times New Roman"/>
      <family val="1"/>
    </font>
    <font>
      <b/>
      <i/>
      <sz val="7"/>
      <name val="Times New Roman"/>
      <family val="1"/>
    </font>
    <font>
      <i/>
      <sz val="7"/>
      <name val="Times New Roman"/>
      <family val="1"/>
    </font>
    <font>
      <b/>
      <sz val="7"/>
      <name val=".VnArial Narrow"/>
      <family val="2"/>
    </font>
    <font>
      <b/>
      <i/>
      <sz val="7"/>
      <name val=".VnArial Narrow"/>
      <family val="2"/>
    </font>
    <font>
      <i/>
      <sz val="7"/>
      <name val=".VnArial Narrow"/>
      <family val="2"/>
    </font>
    <font>
      <sz val="7"/>
      <name val=".VnArial Narrow"/>
      <family val="2"/>
    </font>
    <font>
      <b/>
      <i/>
      <sz val="7"/>
      <name val="Arial"/>
      <family val="2"/>
      <scheme val="minor"/>
    </font>
    <font>
      <sz val="7"/>
      <name val="Arial"/>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164" fontId="1" fillId="0" borderId="0" applyFont="0" applyFill="0" applyBorder="0" applyAlignment="0" applyProtection="0"/>
    <xf numFmtId="165" fontId="2"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0" fontId="1" fillId="0" borderId="0"/>
    <xf numFmtId="0" fontId="5" fillId="0" borderId="0"/>
    <xf numFmtId="0" fontId="6" fillId="0" borderId="0"/>
    <xf numFmtId="0" fontId="6" fillId="0" borderId="0"/>
    <xf numFmtId="0" fontId="1" fillId="0" borderId="0"/>
    <xf numFmtId="0" fontId="6" fillId="0" borderId="0"/>
    <xf numFmtId="164" fontId="1" fillId="0" borderId="0" applyFont="0" applyFill="0" applyBorder="0" applyAlignment="0" applyProtection="0"/>
    <xf numFmtId="0" fontId="5" fillId="0" borderId="0"/>
  </cellStyleXfs>
  <cellXfs count="79">
    <xf numFmtId="0" fontId="0" fillId="0" borderId="0" xfId="0"/>
    <xf numFmtId="0" fontId="8" fillId="0" borderId="0" xfId="0" applyFont="1"/>
    <xf numFmtId="0" fontId="13" fillId="0" borderId="0" xfId="0" applyFont="1"/>
    <xf numFmtId="0" fontId="0" fillId="2" borderId="0" xfId="0" applyFill="1"/>
    <xf numFmtId="0" fontId="7" fillId="0" borderId="2" xfId="0" applyFont="1" applyBorder="1" applyAlignment="1">
      <alignment horizontal="center"/>
    </xf>
    <xf numFmtId="0" fontId="12" fillId="0" borderId="2" xfId="0" applyFont="1" applyBorder="1" applyAlignment="1">
      <alignment horizontal="center"/>
    </xf>
    <xf numFmtId="0" fontId="10" fillId="0" borderId="0" xfId="0" applyFont="1" applyAlignment="1">
      <alignment horizontal="center" vertical="top" wrapText="1"/>
    </xf>
    <xf numFmtId="0" fontId="11" fillId="0" borderId="2" xfId="0" applyFont="1" applyBorder="1" applyAlignment="1">
      <alignment horizontal="center"/>
    </xf>
    <xf numFmtId="0" fontId="7" fillId="0" borderId="0" xfId="0" applyFont="1" applyAlignment="1">
      <alignment horizontal="center"/>
    </xf>
    <xf numFmtId="167" fontId="0" fillId="0" borderId="0" xfId="0" applyNumberFormat="1"/>
    <xf numFmtId="166" fontId="0" fillId="2" borderId="0" xfId="0" applyNumberFormat="1" applyFill="1"/>
    <xf numFmtId="167" fontId="0" fillId="2" borderId="0" xfId="0" applyNumberFormat="1" applyFill="1"/>
    <xf numFmtId="168" fontId="0" fillId="0" borderId="0" xfId="0" applyNumberFormat="1"/>
    <xf numFmtId="0" fontId="13" fillId="2" borderId="0" xfId="0" applyFont="1" applyFill="1"/>
    <xf numFmtId="0" fontId="12" fillId="2" borderId="2" xfId="0" applyFont="1" applyFill="1" applyBorder="1" applyAlignment="1">
      <alignment horizontal="center"/>
    </xf>
    <xf numFmtId="0" fontId="7" fillId="2" borderId="2" xfId="0" applyFont="1" applyFill="1" applyBorder="1" applyAlignment="1">
      <alignment horizontal="center"/>
    </xf>
    <xf numFmtId="0" fontId="8" fillId="2" borderId="0" xfId="0" applyFont="1" applyFill="1"/>
    <xf numFmtId="166" fontId="0" fillId="0" borderId="0" xfId="0" applyNumberFormat="1"/>
    <xf numFmtId="169" fontId="9" fillId="0" borderId="0" xfId="0" applyNumberFormat="1" applyFont="1" applyAlignment="1">
      <alignment horizontal="center" vertical="top" wrapText="1"/>
    </xf>
    <xf numFmtId="166" fontId="21" fillId="0" borderId="1" xfId="1" applyNumberFormat="1" applyFont="1" applyFill="1" applyBorder="1" applyAlignment="1">
      <alignment horizontal="center" vertical="center" wrapText="1"/>
    </xf>
    <xf numFmtId="167" fontId="21" fillId="0" borderId="1" xfId="1" applyNumberFormat="1" applyFont="1" applyFill="1" applyBorder="1" applyAlignment="1">
      <alignment horizontal="right" vertical="center" wrapText="1"/>
    </xf>
    <xf numFmtId="166" fontId="22" fillId="0" borderId="1" xfId="1" applyNumberFormat="1" applyFont="1" applyFill="1" applyBorder="1" applyAlignment="1">
      <alignment horizontal="center" vertical="center" wrapText="1"/>
    </xf>
    <xf numFmtId="167" fontId="22" fillId="0" borderId="1" xfId="1" applyNumberFormat="1" applyFont="1" applyFill="1" applyBorder="1" applyAlignment="1">
      <alignment horizontal="right" vertical="center" wrapText="1"/>
    </xf>
    <xf numFmtId="166" fontId="23" fillId="0" borderId="1" xfId="1" applyNumberFormat="1" applyFont="1" applyFill="1" applyBorder="1" applyAlignment="1">
      <alignment horizontal="center" vertical="center" wrapText="1"/>
    </xf>
    <xf numFmtId="167" fontId="24" fillId="0" borderId="1" xfId="1" applyNumberFormat="1" applyFont="1" applyFill="1" applyBorder="1" applyAlignment="1">
      <alignment horizontal="right" vertical="center" wrapText="1"/>
    </xf>
    <xf numFmtId="166" fontId="24" fillId="0" borderId="1" xfId="1" applyNumberFormat="1" applyFont="1" applyFill="1" applyBorder="1" applyAlignment="1">
      <alignment horizontal="center" vertical="center" wrapText="1"/>
    </xf>
    <xf numFmtId="167" fontId="18" fillId="0" borderId="1" xfId="1" applyNumberFormat="1" applyFont="1" applyFill="1" applyBorder="1" applyAlignment="1">
      <alignment horizontal="center" vertical="center" wrapText="1"/>
    </xf>
    <xf numFmtId="166" fontId="18" fillId="0" borderId="1" xfId="1"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20" fillId="0" borderId="1" xfId="0" applyFont="1" applyFill="1" applyBorder="1" applyAlignment="1">
      <alignment horizontal="center" vertical="center" wrapText="1"/>
    </xf>
    <xf numFmtId="166" fontId="20" fillId="0" borderId="1" xfId="0" applyNumberFormat="1" applyFont="1" applyFill="1" applyBorder="1" applyAlignment="1">
      <alignment horizontal="left" vertical="center" wrapText="1"/>
    </xf>
    <xf numFmtId="166" fontId="20" fillId="0" borderId="1" xfId="0" applyNumberFormat="1" applyFont="1" applyFill="1" applyBorder="1" applyAlignment="1">
      <alignment horizontal="center" vertical="center" wrapText="1"/>
    </xf>
    <xf numFmtId="166" fontId="18" fillId="0" borderId="1" xfId="0" applyNumberFormat="1" applyFont="1" applyFill="1" applyBorder="1" applyAlignment="1">
      <alignment horizontal="left" vertical="center" wrapText="1"/>
    </xf>
    <xf numFmtId="166" fontId="18"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166" fontId="15" fillId="0" borderId="0" xfId="0" applyNumberFormat="1" applyFont="1" applyFill="1"/>
    <xf numFmtId="164" fontId="15" fillId="0" borderId="0" xfId="0" applyNumberFormat="1" applyFont="1" applyFill="1"/>
    <xf numFmtId="0" fontId="15" fillId="0" borderId="0" xfId="0" applyFont="1" applyFill="1"/>
    <xf numFmtId="0" fontId="25" fillId="0" borderId="1" xfId="0" applyFont="1" applyFill="1" applyBorder="1"/>
    <xf numFmtId="166" fontId="22" fillId="0" borderId="1" xfId="0" applyNumberFormat="1" applyFont="1" applyFill="1" applyBorder="1"/>
    <xf numFmtId="0" fontId="14" fillId="0" borderId="0" xfId="0" applyFont="1" applyFill="1"/>
    <xf numFmtId="0" fontId="19" fillId="0" borderId="1" xfId="0" applyFont="1" applyFill="1" applyBorder="1" applyAlignment="1">
      <alignment horizontal="justify" vertical="center" wrapText="1"/>
    </xf>
    <xf numFmtId="0" fontId="19" fillId="0" borderId="1" xfId="0" applyFont="1" applyFill="1" applyBorder="1" applyAlignment="1">
      <alignment vertical="center" wrapText="1"/>
    </xf>
    <xf numFmtId="164" fontId="16" fillId="0" borderId="0" xfId="0" applyNumberFormat="1" applyFont="1" applyFill="1"/>
    <xf numFmtId="0" fontId="16" fillId="0" borderId="0" xfId="0" applyFont="1" applyFill="1"/>
    <xf numFmtId="0" fontId="26" fillId="0" borderId="1" xfId="0" applyFont="1" applyFill="1" applyBorder="1"/>
    <xf numFmtId="0" fontId="8" fillId="0" borderId="0" xfId="0" applyFont="1" applyFill="1"/>
    <xf numFmtId="167" fontId="15" fillId="0" borderId="0" xfId="0" applyNumberFormat="1" applyFont="1" applyFill="1"/>
    <xf numFmtId="166" fontId="16" fillId="0" borderId="0" xfId="0" applyNumberFormat="1" applyFont="1" applyFill="1"/>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9" fillId="0" borderId="0" xfId="0" applyFont="1" applyAlignment="1">
      <alignment horizontal="center" vertical="top" wrapText="1"/>
    </xf>
    <xf numFmtId="0" fontId="19" fillId="0" borderId="1" xfId="0" applyFont="1" applyFill="1" applyBorder="1" applyAlignment="1">
      <alignment horizontal="center" vertical="center" wrapText="1"/>
    </xf>
    <xf numFmtId="0" fontId="20" fillId="0" borderId="1" xfId="0" applyFont="1" applyFill="1" applyBorder="1" applyAlignment="1">
      <alignment vertical="center" wrapText="1"/>
    </xf>
    <xf numFmtId="166" fontId="17" fillId="0" borderId="1" xfId="1" applyNumberFormat="1" applyFont="1" applyFill="1" applyBorder="1" applyAlignment="1">
      <alignment horizontal="center" vertical="center" wrapText="1"/>
    </xf>
    <xf numFmtId="0" fontId="10" fillId="0" borderId="0" xfId="0" applyFont="1" applyAlignment="1">
      <alignment horizontal="center" vertical="top" wrapText="1"/>
    </xf>
    <xf numFmtId="0" fontId="7" fillId="0" borderId="2" xfId="0" applyFont="1" applyBorder="1" applyAlignment="1">
      <alignment horizontal="center"/>
    </xf>
    <xf numFmtId="0" fontId="11" fillId="0" borderId="2" xfId="0" applyFont="1" applyBorder="1" applyAlignment="1">
      <alignment horizontal="center"/>
    </xf>
    <xf numFmtId="166" fontId="18" fillId="0" borderId="1" xfId="1" applyNumberFormat="1" applyFont="1" applyFill="1" applyBorder="1" applyAlignment="1">
      <alignment vertical="center" wrapText="1"/>
    </xf>
    <xf numFmtId="0" fontId="19" fillId="0" borderId="1"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4" xfId="0" applyFont="1" applyFill="1" applyBorder="1" applyAlignment="1">
      <alignment horizontal="left" vertical="center" wrapText="1"/>
    </xf>
    <xf numFmtId="166" fontId="20" fillId="0" borderId="3" xfId="0" applyNumberFormat="1" applyFont="1" applyFill="1" applyBorder="1" applyAlignment="1">
      <alignment horizontal="left" vertical="center" wrapText="1"/>
    </xf>
    <xf numFmtId="166" fontId="20" fillId="0" borderId="5" xfId="0" applyNumberFormat="1" applyFont="1" applyFill="1" applyBorder="1" applyAlignment="1">
      <alignment horizontal="left" vertical="center" wrapText="1"/>
    </xf>
    <xf numFmtId="166" fontId="20" fillId="0" borderId="4"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cellXfs>
  <cellStyles count="13">
    <cellStyle name="Comma" xfId="1" builtinId="3"/>
    <cellStyle name="Comma 10 10 2" xfId="3"/>
    <cellStyle name="Comma 2" xfId="4"/>
    <cellStyle name="Comma 3" xfId="11"/>
    <cellStyle name="Comma 4" xfId="2"/>
    <cellStyle name="Normal" xfId="0" builtinId="0"/>
    <cellStyle name="Normal 14 2" xfId="6"/>
    <cellStyle name="Normal 19" xfId="12"/>
    <cellStyle name="Normal 2" xfId="5"/>
    <cellStyle name="Normal 20 2" xfId="9"/>
    <cellStyle name="Normal 44" xfId="8"/>
    <cellStyle name="Normal 49" xfId="7"/>
    <cellStyle name="Normal 5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0"/>
  <sheetViews>
    <sheetView tabSelected="1" zoomScaleNormal="100" workbookViewId="0">
      <pane ySplit="3" topLeftCell="A4" activePane="bottomLeft" state="frozen"/>
      <selection activeCell="J1" sqref="J1"/>
      <selection pane="bottomLeft" activeCell="Y2" sqref="Y2"/>
    </sheetView>
  </sheetViews>
  <sheetFormatPr defaultRowHeight="14.25" x14ac:dyDescent="0.2"/>
  <cols>
    <col min="1" max="1" width="2.875" customWidth="1"/>
    <col min="2" max="2" width="20.375" customWidth="1"/>
    <col min="3" max="3" width="6.625" customWidth="1"/>
    <col min="4" max="4" width="6.375" customWidth="1"/>
    <col min="5" max="5" width="5.125" customWidth="1"/>
    <col min="6" max="6" width="4.875" customWidth="1"/>
    <col min="7" max="7" width="5.875" customWidth="1"/>
    <col min="8" max="8" width="6.75" customWidth="1"/>
    <col min="9" max="9" width="6.125" customWidth="1"/>
    <col min="10" max="10" width="7.875" customWidth="1"/>
    <col min="11" max="11" width="7.75" customWidth="1"/>
    <col min="12" max="13" width="7.25" customWidth="1"/>
    <col min="14" max="14" width="7.875" style="1" customWidth="1"/>
    <col min="15" max="15" width="8.125" style="13" customWidth="1"/>
    <col min="16" max="16" width="7.625" style="13" customWidth="1"/>
    <col min="17" max="17" width="7.375" style="2" customWidth="1"/>
    <col min="18" max="18" width="7.875" customWidth="1"/>
    <col min="19" max="19" width="9.875" style="16" customWidth="1"/>
    <col min="20" max="20" width="8.375" customWidth="1"/>
    <col min="21" max="21" width="8.75" customWidth="1"/>
    <col min="22" max="22" width="8.625" style="3" customWidth="1"/>
    <col min="23" max="23" width="8" customWidth="1"/>
    <col min="24" max="24" width="7.75" customWidth="1"/>
    <col min="25" max="25" width="7.25" customWidth="1"/>
    <col min="26" max="26" width="7" customWidth="1"/>
    <col min="27" max="27" width="14.375" customWidth="1"/>
    <col min="28" max="28" width="9.125" customWidth="1"/>
    <col min="29" max="29" width="13.125" customWidth="1"/>
    <col min="30" max="42" width="8.75" customWidth="1"/>
  </cols>
  <sheetData>
    <row r="1" spans="1:34" ht="58.5" customHeight="1" x14ac:dyDescent="0.2">
      <c r="A1" s="54" t="s">
        <v>191</v>
      </c>
      <c r="B1" s="54"/>
      <c r="C1" s="54"/>
      <c r="D1" s="54"/>
      <c r="E1" s="54"/>
      <c r="F1" s="54"/>
      <c r="G1" s="54"/>
      <c r="H1" s="54"/>
      <c r="I1" s="54"/>
      <c r="J1" s="54"/>
      <c r="K1" s="54"/>
      <c r="L1" s="54"/>
      <c r="M1" s="54"/>
      <c r="N1" s="54"/>
      <c r="O1" s="54"/>
      <c r="P1" s="54"/>
      <c r="Q1" s="54"/>
      <c r="R1" s="54"/>
      <c r="S1" s="54"/>
      <c r="T1" s="54"/>
      <c r="U1" s="54"/>
      <c r="V1" s="54"/>
      <c r="W1" s="54"/>
      <c r="X1" s="54"/>
      <c r="Y1" s="54"/>
      <c r="Z1" s="18"/>
      <c r="AA1" s="17"/>
      <c r="AB1" s="12"/>
      <c r="AC1" s="12"/>
    </row>
    <row r="2" spans="1:34" ht="16.5" x14ac:dyDescent="0.2">
      <c r="A2" s="58" t="s">
        <v>192</v>
      </c>
      <c r="B2" s="58"/>
      <c r="C2" s="58"/>
      <c r="D2" s="58"/>
      <c r="E2" s="58"/>
      <c r="F2" s="58"/>
      <c r="G2" s="58"/>
      <c r="H2" s="58"/>
      <c r="I2" s="58"/>
      <c r="J2" s="58"/>
      <c r="K2" s="58"/>
      <c r="L2" s="58"/>
      <c r="M2" s="58"/>
      <c r="N2" s="58"/>
      <c r="O2" s="58"/>
      <c r="P2" s="58"/>
      <c r="Q2" s="58"/>
      <c r="R2" s="58"/>
      <c r="S2" s="58"/>
      <c r="T2" s="58"/>
      <c r="U2" s="58"/>
      <c r="V2" s="58"/>
      <c r="W2" s="58"/>
      <c r="X2" s="6"/>
      <c r="Y2" s="1"/>
      <c r="Z2" s="1"/>
      <c r="AA2" s="10">
        <f>R8-N8</f>
        <v>-615</v>
      </c>
      <c r="AB2" s="10"/>
    </row>
    <row r="3" spans="1:34" ht="15" x14ac:dyDescent="0.25">
      <c r="A3" s="1"/>
      <c r="B3" s="1"/>
      <c r="C3" s="1"/>
      <c r="D3" s="1"/>
      <c r="E3" s="1"/>
      <c r="F3" s="1"/>
      <c r="G3" s="1"/>
      <c r="H3" s="1"/>
      <c r="I3" s="1"/>
      <c r="J3" s="1"/>
      <c r="K3" s="59"/>
      <c r="L3" s="59"/>
      <c r="M3" s="4"/>
      <c r="N3" s="4"/>
      <c r="O3" s="14"/>
      <c r="P3" s="14"/>
      <c r="Q3" s="5"/>
      <c r="R3" s="4"/>
      <c r="S3" s="15"/>
      <c r="T3" s="60" t="s">
        <v>3</v>
      </c>
      <c r="U3" s="60"/>
      <c r="V3" s="60"/>
      <c r="W3" s="60"/>
      <c r="X3" s="7"/>
      <c r="Y3" s="4"/>
      <c r="Z3" s="8"/>
      <c r="AA3" s="3"/>
      <c r="AB3" s="11">
        <f>V8-P8</f>
        <v>34</v>
      </c>
      <c r="AC3" s="9">
        <f>W8-X8</f>
        <v>34</v>
      </c>
    </row>
    <row r="4" spans="1:34" s="40" customFormat="1" ht="30.6" customHeight="1" x14ac:dyDescent="0.2">
      <c r="A4" s="69" t="s">
        <v>4</v>
      </c>
      <c r="B4" s="69" t="s">
        <v>5</v>
      </c>
      <c r="C4" s="69" t="s">
        <v>22</v>
      </c>
      <c r="D4" s="69" t="s">
        <v>23</v>
      </c>
      <c r="E4" s="69" t="s">
        <v>6</v>
      </c>
      <c r="F4" s="69" t="s">
        <v>7</v>
      </c>
      <c r="G4" s="57" t="s">
        <v>8</v>
      </c>
      <c r="H4" s="61"/>
      <c r="I4" s="61"/>
      <c r="J4" s="57" t="s">
        <v>9</v>
      </c>
      <c r="K4" s="57"/>
      <c r="L4" s="57"/>
      <c r="M4" s="57"/>
      <c r="N4" s="57" t="s">
        <v>164</v>
      </c>
      <c r="O4" s="57"/>
      <c r="P4" s="57"/>
      <c r="Q4" s="57"/>
      <c r="R4" s="57" t="s">
        <v>25</v>
      </c>
      <c r="S4" s="57"/>
      <c r="T4" s="57"/>
      <c r="U4" s="57"/>
      <c r="V4" s="57"/>
      <c r="W4" s="57"/>
      <c r="X4" s="57"/>
      <c r="Y4" s="57"/>
      <c r="Z4" s="57" t="s">
        <v>182</v>
      </c>
      <c r="AB4" s="50">
        <f>S8-O8</f>
        <v>-649</v>
      </c>
      <c r="AD4" s="50">
        <f>T8-U8</f>
        <v>-649</v>
      </c>
    </row>
    <row r="5" spans="1:34" s="40" customFormat="1" ht="11.25" x14ac:dyDescent="0.2">
      <c r="A5" s="70"/>
      <c r="B5" s="70"/>
      <c r="C5" s="70"/>
      <c r="D5" s="70"/>
      <c r="E5" s="70"/>
      <c r="F5" s="70"/>
      <c r="G5" s="69" t="s">
        <v>10</v>
      </c>
      <c r="H5" s="55" t="s">
        <v>11</v>
      </c>
      <c r="I5" s="56"/>
      <c r="J5" s="69" t="s">
        <v>12</v>
      </c>
      <c r="K5" s="55" t="s">
        <v>13</v>
      </c>
      <c r="L5" s="55"/>
      <c r="M5" s="55"/>
      <c r="N5" s="69" t="s">
        <v>12</v>
      </c>
      <c r="O5" s="55" t="s">
        <v>13</v>
      </c>
      <c r="P5" s="55"/>
      <c r="Q5" s="55"/>
      <c r="R5" s="69" t="s">
        <v>12</v>
      </c>
      <c r="S5" s="66" t="s">
        <v>13</v>
      </c>
      <c r="T5" s="67"/>
      <c r="U5" s="67"/>
      <c r="V5" s="67"/>
      <c r="W5" s="67"/>
      <c r="X5" s="67"/>
      <c r="Y5" s="68"/>
      <c r="Z5" s="57"/>
      <c r="AB5" s="50">
        <f>Q9-Y8</f>
        <v>0</v>
      </c>
      <c r="AD5" s="50">
        <f>W8-X8</f>
        <v>34</v>
      </c>
      <c r="AH5" s="40">
        <f>810+99</f>
        <v>909</v>
      </c>
    </row>
    <row r="6" spans="1:34" s="40" customFormat="1" ht="11.25" x14ac:dyDescent="0.2">
      <c r="A6" s="70"/>
      <c r="B6" s="70"/>
      <c r="C6" s="70"/>
      <c r="D6" s="70"/>
      <c r="E6" s="70"/>
      <c r="F6" s="70"/>
      <c r="G6" s="70"/>
      <c r="H6" s="69" t="s">
        <v>14</v>
      </c>
      <c r="I6" s="69" t="s">
        <v>15</v>
      </c>
      <c r="J6" s="70"/>
      <c r="K6" s="69" t="s">
        <v>14</v>
      </c>
      <c r="L6" s="69" t="s">
        <v>20</v>
      </c>
      <c r="M6" s="69" t="s">
        <v>21</v>
      </c>
      <c r="N6" s="70"/>
      <c r="O6" s="69" t="s">
        <v>14</v>
      </c>
      <c r="P6" s="69" t="s">
        <v>20</v>
      </c>
      <c r="Q6" s="69" t="s">
        <v>21</v>
      </c>
      <c r="R6" s="70"/>
      <c r="S6" s="63" t="s">
        <v>14</v>
      </c>
      <c r="T6" s="64"/>
      <c r="U6" s="65"/>
      <c r="V6" s="63" t="s">
        <v>20</v>
      </c>
      <c r="W6" s="64"/>
      <c r="X6" s="65"/>
      <c r="Y6" s="69" t="s">
        <v>21</v>
      </c>
      <c r="Z6" s="57"/>
      <c r="AH6" s="40">
        <v>8884</v>
      </c>
    </row>
    <row r="7" spans="1:34" s="40" customFormat="1" ht="25.5" customHeight="1" x14ac:dyDescent="0.2">
      <c r="A7" s="71"/>
      <c r="B7" s="71"/>
      <c r="C7" s="71"/>
      <c r="D7" s="71"/>
      <c r="E7" s="71"/>
      <c r="F7" s="71"/>
      <c r="G7" s="71"/>
      <c r="H7" s="71"/>
      <c r="I7" s="71"/>
      <c r="J7" s="71"/>
      <c r="K7" s="71"/>
      <c r="L7" s="71"/>
      <c r="M7" s="71"/>
      <c r="N7" s="71"/>
      <c r="O7" s="71"/>
      <c r="P7" s="71"/>
      <c r="Q7" s="71"/>
      <c r="R7" s="71"/>
      <c r="S7" s="28" t="s">
        <v>28</v>
      </c>
      <c r="T7" s="29" t="s">
        <v>26</v>
      </c>
      <c r="U7" s="29" t="s">
        <v>27</v>
      </c>
      <c r="V7" s="29" t="s">
        <v>28</v>
      </c>
      <c r="W7" s="29" t="s">
        <v>26</v>
      </c>
      <c r="X7" s="29" t="s">
        <v>27</v>
      </c>
      <c r="Y7" s="71"/>
      <c r="Z7" s="57"/>
      <c r="AA7" s="50">
        <f>R8-N8</f>
        <v>-615</v>
      </c>
      <c r="AB7" s="50">
        <f>649-U20-U10</f>
        <v>-10</v>
      </c>
      <c r="AC7" s="50">
        <f>AA7+714</f>
        <v>99</v>
      </c>
      <c r="AD7" s="50">
        <f>Y8-AC7</f>
        <v>1007</v>
      </c>
      <c r="AH7" s="40">
        <f>AH5+AH6</f>
        <v>9793</v>
      </c>
    </row>
    <row r="8" spans="1:34" s="40" customFormat="1" ht="21" customHeight="1" x14ac:dyDescent="0.2">
      <c r="A8" s="78" t="s">
        <v>169</v>
      </c>
      <c r="B8" s="78"/>
      <c r="C8" s="29"/>
      <c r="D8" s="29"/>
      <c r="E8" s="30"/>
      <c r="F8" s="30"/>
      <c r="G8" s="19">
        <f t="shared" ref="G8:X8" si="0">G9+G30+G36+G79</f>
        <v>97411</v>
      </c>
      <c r="H8" s="19">
        <f t="shared" si="0"/>
        <v>84986</v>
      </c>
      <c r="I8" s="19">
        <f t="shared" si="0"/>
        <v>12425</v>
      </c>
      <c r="J8" s="20">
        <f t="shared" si="0"/>
        <v>97298</v>
      </c>
      <c r="K8" s="20">
        <f t="shared" si="0"/>
        <v>84986</v>
      </c>
      <c r="L8" s="20">
        <f t="shared" si="0"/>
        <v>8278</v>
      </c>
      <c r="M8" s="20">
        <f t="shared" si="0"/>
        <v>4147</v>
      </c>
      <c r="N8" s="20">
        <f t="shared" si="0"/>
        <v>43643.584999999999</v>
      </c>
      <c r="O8" s="20">
        <f t="shared" si="0"/>
        <v>38282.873999999996</v>
      </c>
      <c r="P8" s="20">
        <f t="shared" si="0"/>
        <v>4254.7110000000002</v>
      </c>
      <c r="Q8" s="20">
        <f t="shared" si="0"/>
        <v>1106</v>
      </c>
      <c r="R8" s="20">
        <f t="shared" si="0"/>
        <v>43028.584999999999</v>
      </c>
      <c r="S8" s="20">
        <f t="shared" si="0"/>
        <v>37633.873999999996</v>
      </c>
      <c r="T8" s="20">
        <f t="shared" si="0"/>
        <v>12158</v>
      </c>
      <c r="U8" s="20">
        <f t="shared" si="0"/>
        <v>12807</v>
      </c>
      <c r="V8" s="20">
        <f t="shared" si="0"/>
        <v>4288.7110000000002</v>
      </c>
      <c r="W8" s="20">
        <f t="shared" si="0"/>
        <v>1545</v>
      </c>
      <c r="X8" s="20">
        <f t="shared" si="0"/>
        <v>1511</v>
      </c>
      <c r="Y8" s="20">
        <f t="shared" ref="Y8" si="1">Y9+Y30+Y36</f>
        <v>1106</v>
      </c>
      <c r="Z8" s="19"/>
      <c r="AA8" s="39">
        <f>R8-N8-714</f>
        <v>-1329</v>
      </c>
      <c r="AB8" s="39">
        <f>AB7-U10</f>
        <v>-426.12599999999998</v>
      </c>
      <c r="AC8" s="39"/>
      <c r="AF8" s="38">
        <f>W8-X8</f>
        <v>34</v>
      </c>
    </row>
    <row r="9" spans="1:34" s="40" customFormat="1" ht="21.75" customHeight="1" x14ac:dyDescent="0.2">
      <c r="A9" s="29" t="s">
        <v>17</v>
      </c>
      <c r="B9" s="52" t="s">
        <v>16</v>
      </c>
      <c r="C9" s="52"/>
      <c r="D9" s="52"/>
      <c r="E9" s="52"/>
      <c r="F9" s="52"/>
      <c r="G9" s="19">
        <f>G10+G20</f>
        <v>31169</v>
      </c>
      <c r="H9" s="19">
        <f t="shared" ref="H9:Y9" si="2">H10+H20</f>
        <v>27080</v>
      </c>
      <c r="I9" s="19">
        <f t="shared" si="2"/>
        <v>4089</v>
      </c>
      <c r="J9" s="20">
        <f t="shared" si="2"/>
        <v>31169</v>
      </c>
      <c r="K9" s="20">
        <f t="shared" si="2"/>
        <v>27080</v>
      </c>
      <c r="L9" s="20">
        <f t="shared" si="2"/>
        <v>2721</v>
      </c>
      <c r="M9" s="20">
        <f t="shared" si="2"/>
        <v>1368</v>
      </c>
      <c r="N9" s="20">
        <f t="shared" si="2"/>
        <v>8278.5850000000009</v>
      </c>
      <c r="O9" s="20">
        <f t="shared" si="2"/>
        <v>6090.8739999999998</v>
      </c>
      <c r="P9" s="20">
        <f t="shared" si="2"/>
        <v>1081.711</v>
      </c>
      <c r="Q9" s="20">
        <f t="shared" si="2"/>
        <v>1106</v>
      </c>
      <c r="R9" s="20">
        <f t="shared" si="2"/>
        <v>7564.585</v>
      </c>
      <c r="S9" s="20">
        <f t="shared" si="2"/>
        <v>5441.8739999999998</v>
      </c>
      <c r="T9" s="20">
        <f t="shared" si="2"/>
        <v>10</v>
      </c>
      <c r="U9" s="20">
        <f t="shared" si="2"/>
        <v>659</v>
      </c>
      <c r="V9" s="20">
        <f t="shared" si="2"/>
        <v>1016.711</v>
      </c>
      <c r="W9" s="20">
        <f t="shared" si="2"/>
        <v>8</v>
      </c>
      <c r="X9" s="20">
        <f>X10+X20</f>
        <v>73</v>
      </c>
      <c r="Y9" s="20">
        <f t="shared" si="2"/>
        <v>1106</v>
      </c>
      <c r="Z9" s="19"/>
      <c r="AA9" s="39">
        <f>N9-R9</f>
        <v>714.00000000000091</v>
      </c>
      <c r="AB9" s="39">
        <f>W9-X9</f>
        <v>-65</v>
      </c>
      <c r="AC9" s="39"/>
    </row>
    <row r="10" spans="1:34" s="47" customFormat="1" ht="11.25" x14ac:dyDescent="0.2">
      <c r="A10" s="31">
        <v>1</v>
      </c>
      <c r="B10" s="32" t="s">
        <v>24</v>
      </c>
      <c r="C10" s="33"/>
      <c r="D10" s="33"/>
      <c r="E10" s="33"/>
      <c r="F10" s="33"/>
      <c r="G10" s="21">
        <f>SUM(G11:G19)</f>
        <v>11271</v>
      </c>
      <c r="H10" s="21">
        <f t="shared" ref="H10:Y10" si="3">SUM(H11:H19)</f>
        <v>9778</v>
      </c>
      <c r="I10" s="21">
        <f t="shared" si="3"/>
        <v>1493</v>
      </c>
      <c r="J10" s="22">
        <f t="shared" si="3"/>
        <v>11271</v>
      </c>
      <c r="K10" s="22">
        <f t="shared" si="3"/>
        <v>9778</v>
      </c>
      <c r="L10" s="22">
        <f t="shared" si="3"/>
        <v>988</v>
      </c>
      <c r="M10" s="22">
        <f t="shared" si="3"/>
        <v>505</v>
      </c>
      <c r="N10" s="22">
        <f t="shared" si="3"/>
        <v>6740</v>
      </c>
      <c r="O10" s="22">
        <f t="shared" si="3"/>
        <v>5848</v>
      </c>
      <c r="P10" s="22">
        <f t="shared" si="3"/>
        <v>579</v>
      </c>
      <c r="Q10" s="22">
        <f t="shared" si="3"/>
        <v>313</v>
      </c>
      <c r="R10" s="22">
        <f t="shared" si="3"/>
        <v>6331.8739999999998</v>
      </c>
      <c r="S10" s="22">
        <f t="shared" si="3"/>
        <v>5441.8739999999998</v>
      </c>
      <c r="T10" s="22">
        <f t="shared" si="3"/>
        <v>10</v>
      </c>
      <c r="U10" s="22">
        <f t="shared" si="3"/>
        <v>416.12599999999998</v>
      </c>
      <c r="V10" s="22">
        <f t="shared" si="3"/>
        <v>577</v>
      </c>
      <c r="W10" s="22">
        <f t="shared" si="3"/>
        <v>8</v>
      </c>
      <c r="X10" s="22">
        <f t="shared" si="3"/>
        <v>10</v>
      </c>
      <c r="Y10" s="22">
        <f t="shared" si="3"/>
        <v>313</v>
      </c>
      <c r="Z10" s="23"/>
      <c r="AA10" s="38">
        <f>X9-W9</f>
        <v>65</v>
      </c>
      <c r="AB10" s="51">
        <f>AA10-649-65</f>
        <v>-649</v>
      </c>
      <c r="AC10" s="51"/>
    </row>
    <row r="11" spans="1:34" s="40" customFormat="1" ht="21" x14ac:dyDescent="0.2">
      <c r="A11" s="28"/>
      <c r="B11" s="34" t="s">
        <v>29</v>
      </c>
      <c r="C11" s="35" t="s">
        <v>34</v>
      </c>
      <c r="D11" s="35" t="s">
        <v>35</v>
      </c>
      <c r="E11" s="35" t="s">
        <v>36</v>
      </c>
      <c r="F11" s="35" t="s">
        <v>37</v>
      </c>
      <c r="G11" s="19">
        <v>537</v>
      </c>
      <c r="H11" s="25">
        <v>468</v>
      </c>
      <c r="I11" s="25">
        <v>69</v>
      </c>
      <c r="J11" s="19">
        <v>537</v>
      </c>
      <c r="K11" s="25">
        <v>468</v>
      </c>
      <c r="L11" s="25">
        <v>46</v>
      </c>
      <c r="M11" s="25">
        <v>23</v>
      </c>
      <c r="N11" s="19">
        <f>O11+P11+Q11</f>
        <v>187</v>
      </c>
      <c r="O11" s="25">
        <v>156</v>
      </c>
      <c r="P11" s="25">
        <v>14</v>
      </c>
      <c r="Q11" s="25">
        <v>17</v>
      </c>
      <c r="R11" s="20">
        <f>S11+V11+Y11</f>
        <v>187</v>
      </c>
      <c r="S11" s="20">
        <f>O11+T11-U11</f>
        <v>156</v>
      </c>
      <c r="T11" s="24"/>
      <c r="U11" s="24">
        <v>0</v>
      </c>
      <c r="V11" s="20">
        <f>P11+W11-X11</f>
        <v>14</v>
      </c>
      <c r="W11" s="24">
        <v>0</v>
      </c>
      <c r="X11" s="24">
        <v>0</v>
      </c>
      <c r="Y11" s="25">
        <f>Q11</f>
        <v>17</v>
      </c>
      <c r="Z11" s="25"/>
      <c r="AA11" s="38">
        <f>R11/4</f>
        <v>46.75</v>
      </c>
      <c r="AB11" s="38">
        <v>156</v>
      </c>
      <c r="AC11" s="38">
        <v>14</v>
      </c>
      <c r="AD11" s="38">
        <f>AA11-AB11-AC11</f>
        <v>-123.25</v>
      </c>
    </row>
    <row r="12" spans="1:34" s="40" customFormat="1" ht="21" x14ac:dyDescent="0.2">
      <c r="A12" s="28"/>
      <c r="B12" s="34" t="s">
        <v>30</v>
      </c>
      <c r="C12" s="35" t="s">
        <v>38</v>
      </c>
      <c r="D12" s="35" t="s">
        <v>35</v>
      </c>
      <c r="E12" s="35" t="s">
        <v>39</v>
      </c>
      <c r="F12" s="35" t="s">
        <v>37</v>
      </c>
      <c r="G12" s="19">
        <v>537</v>
      </c>
      <c r="H12" s="25">
        <v>468</v>
      </c>
      <c r="I12" s="25">
        <v>69</v>
      </c>
      <c r="J12" s="19">
        <v>537</v>
      </c>
      <c r="K12" s="25">
        <v>468</v>
      </c>
      <c r="L12" s="25">
        <v>46</v>
      </c>
      <c r="M12" s="25">
        <v>23</v>
      </c>
      <c r="N12" s="19">
        <f t="shared" ref="N12:N19" si="4">O12+P12+Q12</f>
        <v>447</v>
      </c>
      <c r="O12" s="25">
        <v>390</v>
      </c>
      <c r="P12" s="25">
        <v>38</v>
      </c>
      <c r="Q12" s="25">
        <v>19</v>
      </c>
      <c r="R12" s="20">
        <f t="shared" ref="R12:R19" si="5">S12+V12+Y12</f>
        <v>456</v>
      </c>
      <c r="S12" s="20">
        <f t="shared" ref="S12:S19" si="6">O12+T12-U12</f>
        <v>390</v>
      </c>
      <c r="T12" s="24">
        <v>0</v>
      </c>
      <c r="U12" s="24"/>
      <c r="V12" s="20">
        <f t="shared" ref="V12:V19" si="7">P12+W12-X12</f>
        <v>40</v>
      </c>
      <c r="W12" s="24">
        <v>2</v>
      </c>
      <c r="X12" s="24"/>
      <c r="Y12" s="25">
        <v>26</v>
      </c>
      <c r="Z12" s="25"/>
      <c r="AA12" s="38">
        <f>R12/10</f>
        <v>45.6</v>
      </c>
      <c r="AB12" s="38">
        <v>351</v>
      </c>
      <c r="AC12" s="38">
        <v>36</v>
      </c>
      <c r="AD12" s="38">
        <f t="shared" ref="AD12:AD78" si="8">AA12-AB12-AC12</f>
        <v>-341.4</v>
      </c>
    </row>
    <row r="13" spans="1:34" s="40" customFormat="1" ht="21" x14ac:dyDescent="0.2">
      <c r="A13" s="28"/>
      <c r="B13" s="34" t="s">
        <v>31</v>
      </c>
      <c r="C13" s="35" t="s">
        <v>40</v>
      </c>
      <c r="D13" s="35" t="s">
        <v>41</v>
      </c>
      <c r="E13" s="35" t="s">
        <v>42</v>
      </c>
      <c r="F13" s="35" t="s">
        <v>37</v>
      </c>
      <c r="G13" s="19">
        <v>2242</v>
      </c>
      <c r="H13" s="25">
        <v>1950</v>
      </c>
      <c r="I13" s="25">
        <v>292</v>
      </c>
      <c r="J13" s="19">
        <v>2242</v>
      </c>
      <c r="K13" s="25">
        <v>1950</v>
      </c>
      <c r="L13" s="25">
        <v>195</v>
      </c>
      <c r="M13" s="25">
        <v>97</v>
      </c>
      <c r="N13" s="19">
        <f t="shared" si="4"/>
        <v>1890</v>
      </c>
      <c r="O13" s="25">
        <v>1638</v>
      </c>
      <c r="P13" s="25">
        <v>163</v>
      </c>
      <c r="Q13" s="25">
        <v>89</v>
      </c>
      <c r="R13" s="20">
        <f t="shared" si="5"/>
        <v>1908</v>
      </c>
      <c r="S13" s="20">
        <f t="shared" si="6"/>
        <v>1648</v>
      </c>
      <c r="T13" s="24">
        <v>10</v>
      </c>
      <c r="U13" s="24">
        <v>0</v>
      </c>
      <c r="V13" s="20">
        <f t="shared" si="7"/>
        <v>163</v>
      </c>
      <c r="W13" s="24">
        <v>0</v>
      </c>
      <c r="X13" s="24">
        <v>0</v>
      </c>
      <c r="Y13" s="25">
        <v>97</v>
      </c>
      <c r="Z13" s="25"/>
      <c r="AA13" s="38">
        <f>R13/42</f>
        <v>45.428571428571431</v>
      </c>
      <c r="AB13" s="40">
        <v>1638</v>
      </c>
      <c r="AC13" s="40">
        <v>163</v>
      </c>
      <c r="AD13" s="38">
        <f t="shared" si="8"/>
        <v>-1755.5714285714287</v>
      </c>
    </row>
    <row r="14" spans="1:34" s="40" customFormat="1" ht="21" x14ac:dyDescent="0.2">
      <c r="A14" s="28"/>
      <c r="B14" s="34" t="s">
        <v>32</v>
      </c>
      <c r="C14" s="35" t="s">
        <v>43</v>
      </c>
      <c r="D14" s="35" t="s">
        <v>44</v>
      </c>
      <c r="E14" s="35" t="s">
        <v>45</v>
      </c>
      <c r="F14" s="35" t="s">
        <v>37</v>
      </c>
      <c r="G14" s="19">
        <v>897</v>
      </c>
      <c r="H14" s="25">
        <v>780</v>
      </c>
      <c r="I14" s="25">
        <v>117</v>
      </c>
      <c r="J14" s="19">
        <v>897</v>
      </c>
      <c r="K14" s="25">
        <v>780</v>
      </c>
      <c r="L14" s="25">
        <v>78</v>
      </c>
      <c r="M14" s="25">
        <v>39</v>
      </c>
      <c r="N14" s="19">
        <f t="shared" si="4"/>
        <v>315</v>
      </c>
      <c r="O14" s="25">
        <v>273</v>
      </c>
      <c r="P14" s="25">
        <v>28</v>
      </c>
      <c r="Q14" s="25">
        <v>14</v>
      </c>
      <c r="R14" s="20">
        <f t="shared" si="5"/>
        <v>225</v>
      </c>
      <c r="S14" s="20">
        <f t="shared" si="6"/>
        <v>195</v>
      </c>
      <c r="T14" s="24">
        <v>0</v>
      </c>
      <c r="U14" s="24">
        <f>39*2</f>
        <v>78</v>
      </c>
      <c r="V14" s="20">
        <f t="shared" si="7"/>
        <v>18</v>
      </c>
      <c r="W14" s="24">
        <v>0</v>
      </c>
      <c r="X14" s="24">
        <v>10</v>
      </c>
      <c r="Y14" s="25">
        <v>12</v>
      </c>
      <c r="Z14" s="25"/>
      <c r="AA14" s="38">
        <f>R14/5</f>
        <v>45</v>
      </c>
      <c r="AB14" s="40">
        <v>195</v>
      </c>
      <c r="AC14" s="40">
        <v>20</v>
      </c>
      <c r="AD14" s="38">
        <f t="shared" si="8"/>
        <v>-170</v>
      </c>
    </row>
    <row r="15" spans="1:34" s="40" customFormat="1" ht="21" x14ac:dyDescent="0.2">
      <c r="A15" s="28"/>
      <c r="B15" s="34" t="s">
        <v>33</v>
      </c>
      <c r="C15" s="35" t="s">
        <v>46</v>
      </c>
      <c r="D15" s="35" t="s">
        <v>47</v>
      </c>
      <c r="E15" s="35" t="s">
        <v>48</v>
      </c>
      <c r="F15" s="35" t="s">
        <v>37</v>
      </c>
      <c r="G15" s="19">
        <v>2353</v>
      </c>
      <c r="H15" s="25">
        <v>2017</v>
      </c>
      <c r="I15" s="25">
        <v>336</v>
      </c>
      <c r="J15" s="19">
        <v>2353</v>
      </c>
      <c r="K15" s="25">
        <v>2017</v>
      </c>
      <c r="L15" s="25">
        <v>215</v>
      </c>
      <c r="M15" s="25">
        <v>121</v>
      </c>
      <c r="N15" s="19">
        <f t="shared" si="4"/>
        <v>1350</v>
      </c>
      <c r="O15" s="25">
        <v>1170</v>
      </c>
      <c r="P15" s="25">
        <v>120</v>
      </c>
      <c r="Q15" s="25">
        <v>60</v>
      </c>
      <c r="R15" s="20">
        <f t="shared" si="5"/>
        <v>1352</v>
      </c>
      <c r="S15" s="20">
        <f t="shared" si="6"/>
        <v>1170</v>
      </c>
      <c r="T15" s="24">
        <v>0</v>
      </c>
      <c r="U15" s="24"/>
      <c r="V15" s="20">
        <f t="shared" si="7"/>
        <v>120</v>
      </c>
      <c r="W15" s="24">
        <v>0</v>
      </c>
      <c r="X15" s="24"/>
      <c r="Y15" s="25">
        <v>62</v>
      </c>
      <c r="Z15" s="25"/>
      <c r="AA15" s="38">
        <f>R15/29</f>
        <v>46.620689655172413</v>
      </c>
      <c r="AB15" s="40">
        <v>1131</v>
      </c>
      <c r="AC15" s="40">
        <v>116</v>
      </c>
      <c r="AD15" s="38">
        <f t="shared" si="8"/>
        <v>-1200.3793103448277</v>
      </c>
    </row>
    <row r="16" spans="1:34" s="40" customFormat="1" ht="21" x14ac:dyDescent="0.2">
      <c r="A16" s="28"/>
      <c r="B16" s="34" t="s">
        <v>190</v>
      </c>
      <c r="C16" s="35" t="s">
        <v>49</v>
      </c>
      <c r="D16" s="35" t="s">
        <v>50</v>
      </c>
      <c r="E16" s="35" t="s">
        <v>51</v>
      </c>
      <c r="F16" s="35" t="s">
        <v>37</v>
      </c>
      <c r="G16" s="19">
        <v>1300</v>
      </c>
      <c r="H16" s="25">
        <v>1131</v>
      </c>
      <c r="I16" s="25">
        <v>169</v>
      </c>
      <c r="J16" s="19">
        <v>1300</v>
      </c>
      <c r="K16" s="25">
        <v>1131</v>
      </c>
      <c r="L16" s="25">
        <v>113</v>
      </c>
      <c r="M16" s="25">
        <v>56</v>
      </c>
      <c r="N16" s="19">
        <f t="shared" si="4"/>
        <v>1300</v>
      </c>
      <c r="O16" s="25">
        <v>1131</v>
      </c>
      <c r="P16" s="25">
        <v>113</v>
      </c>
      <c r="Q16" s="25">
        <v>56</v>
      </c>
      <c r="R16" s="20">
        <f t="shared" si="5"/>
        <v>1299</v>
      </c>
      <c r="S16" s="20">
        <f t="shared" si="6"/>
        <v>1131</v>
      </c>
      <c r="T16" s="24">
        <v>0</v>
      </c>
      <c r="U16" s="24"/>
      <c r="V16" s="20">
        <f t="shared" si="7"/>
        <v>113</v>
      </c>
      <c r="W16" s="24"/>
      <c r="X16" s="24"/>
      <c r="Y16" s="25">
        <v>55</v>
      </c>
      <c r="Z16" s="25"/>
      <c r="AA16" s="38">
        <f>R16/27</f>
        <v>48.111111111111114</v>
      </c>
      <c r="AB16" s="38">
        <f>P16/29</f>
        <v>3.896551724137931</v>
      </c>
      <c r="AC16" s="38">
        <f t="shared" ref="AC16" si="9">Q16/29</f>
        <v>1.9310344827586208</v>
      </c>
      <c r="AD16" s="38">
        <f t="shared" si="8"/>
        <v>42.283524904214566</v>
      </c>
    </row>
    <row r="17" spans="1:38" s="40" customFormat="1" ht="21" x14ac:dyDescent="0.2">
      <c r="A17" s="28"/>
      <c r="B17" s="34" t="s">
        <v>188</v>
      </c>
      <c r="C17" s="35" t="s">
        <v>52</v>
      </c>
      <c r="D17" s="35" t="s">
        <v>53</v>
      </c>
      <c r="E17" s="35" t="s">
        <v>54</v>
      </c>
      <c r="F17" s="35" t="s">
        <v>37</v>
      </c>
      <c r="G17" s="19">
        <v>313</v>
      </c>
      <c r="H17" s="25">
        <v>273</v>
      </c>
      <c r="I17" s="25">
        <v>40</v>
      </c>
      <c r="J17" s="19">
        <v>313</v>
      </c>
      <c r="K17" s="25">
        <v>273</v>
      </c>
      <c r="L17" s="25">
        <v>27</v>
      </c>
      <c r="M17" s="25">
        <v>13</v>
      </c>
      <c r="N17" s="19">
        <f t="shared" si="4"/>
        <v>315</v>
      </c>
      <c r="O17" s="25">
        <v>273</v>
      </c>
      <c r="P17" s="25">
        <v>28</v>
      </c>
      <c r="Q17" s="25">
        <v>14</v>
      </c>
      <c r="R17" s="20">
        <f t="shared" si="5"/>
        <v>182</v>
      </c>
      <c r="S17" s="20">
        <f t="shared" si="6"/>
        <v>146</v>
      </c>
      <c r="T17" s="24">
        <v>0</v>
      </c>
      <c r="U17" s="24">
        <v>127</v>
      </c>
      <c r="V17" s="20">
        <f t="shared" si="7"/>
        <v>28</v>
      </c>
      <c r="W17" s="24"/>
      <c r="X17" s="24"/>
      <c r="Y17" s="25">
        <v>8</v>
      </c>
      <c r="Z17" s="25"/>
      <c r="AA17" s="38">
        <f>R17/4</f>
        <v>45.5</v>
      </c>
      <c r="AB17" s="40">
        <v>117</v>
      </c>
      <c r="AC17" s="40">
        <v>12</v>
      </c>
      <c r="AD17" s="38">
        <f t="shared" si="8"/>
        <v>-83.5</v>
      </c>
    </row>
    <row r="18" spans="1:38" s="40" customFormat="1" ht="21" x14ac:dyDescent="0.2">
      <c r="A18" s="28"/>
      <c r="B18" s="34" t="s">
        <v>189</v>
      </c>
      <c r="C18" s="35" t="s">
        <v>55</v>
      </c>
      <c r="D18" s="35" t="s">
        <v>56</v>
      </c>
      <c r="E18" s="35" t="s">
        <v>57</v>
      </c>
      <c r="F18" s="35" t="s">
        <v>37</v>
      </c>
      <c r="G18" s="19">
        <v>1210</v>
      </c>
      <c r="H18" s="25">
        <v>1053</v>
      </c>
      <c r="I18" s="25">
        <v>157</v>
      </c>
      <c r="J18" s="19">
        <v>1210</v>
      </c>
      <c r="K18" s="25">
        <v>1053</v>
      </c>
      <c r="L18" s="25">
        <v>105</v>
      </c>
      <c r="M18" s="25">
        <v>52</v>
      </c>
      <c r="N18" s="19">
        <f t="shared" si="4"/>
        <v>531</v>
      </c>
      <c r="O18" s="25">
        <v>466</v>
      </c>
      <c r="P18" s="25">
        <v>39</v>
      </c>
      <c r="Q18" s="25">
        <v>26</v>
      </c>
      <c r="R18" s="20">
        <f t="shared" si="5"/>
        <v>531</v>
      </c>
      <c r="S18" s="20">
        <f t="shared" si="6"/>
        <v>466</v>
      </c>
      <c r="T18" s="24"/>
      <c r="U18" s="24"/>
      <c r="V18" s="20">
        <f t="shared" si="7"/>
        <v>39</v>
      </c>
      <c r="W18" s="24"/>
      <c r="X18" s="24"/>
      <c r="Y18" s="25">
        <v>26</v>
      </c>
      <c r="Z18" s="25"/>
      <c r="AA18" s="38">
        <f>R18/12</f>
        <v>44.25</v>
      </c>
      <c r="AB18" s="40">
        <v>468</v>
      </c>
      <c r="AC18" s="40">
        <v>48</v>
      </c>
      <c r="AD18" s="38">
        <f t="shared" si="8"/>
        <v>-471.75</v>
      </c>
    </row>
    <row r="19" spans="1:38" s="40" customFormat="1" ht="21" x14ac:dyDescent="0.2">
      <c r="A19" s="28"/>
      <c r="B19" s="34" t="s">
        <v>29</v>
      </c>
      <c r="C19" s="35" t="s">
        <v>58</v>
      </c>
      <c r="D19" s="35" t="s">
        <v>59</v>
      </c>
      <c r="E19" s="35" t="s">
        <v>60</v>
      </c>
      <c r="F19" s="35" t="s">
        <v>37</v>
      </c>
      <c r="G19" s="19">
        <v>1882</v>
      </c>
      <c r="H19" s="25">
        <v>1638</v>
      </c>
      <c r="I19" s="25">
        <v>244</v>
      </c>
      <c r="J19" s="19">
        <v>1882</v>
      </c>
      <c r="K19" s="25">
        <v>1638</v>
      </c>
      <c r="L19" s="25">
        <v>163</v>
      </c>
      <c r="M19" s="25">
        <v>81</v>
      </c>
      <c r="N19" s="19">
        <f t="shared" si="4"/>
        <v>405</v>
      </c>
      <c r="O19" s="25">
        <v>351</v>
      </c>
      <c r="P19" s="25">
        <v>36</v>
      </c>
      <c r="Q19" s="25">
        <v>18</v>
      </c>
      <c r="R19" s="20">
        <f t="shared" si="5"/>
        <v>191.874</v>
      </c>
      <c r="S19" s="20">
        <f t="shared" si="6"/>
        <v>139.874</v>
      </c>
      <c r="T19" s="24">
        <v>0</v>
      </c>
      <c r="U19" s="24">
        <f>(5*39)+16.126</f>
        <v>211.126</v>
      </c>
      <c r="V19" s="20">
        <f t="shared" si="7"/>
        <v>42</v>
      </c>
      <c r="W19" s="24">
        <v>6</v>
      </c>
      <c r="X19" s="24"/>
      <c r="Y19" s="25">
        <v>10</v>
      </c>
      <c r="Z19" s="25"/>
      <c r="AA19" s="38">
        <f>R19/4</f>
        <v>47.968499999999999</v>
      </c>
      <c r="AB19" s="40">
        <f>117/39</f>
        <v>3</v>
      </c>
      <c r="AC19" s="40">
        <v>12</v>
      </c>
      <c r="AD19" s="38">
        <f t="shared" si="8"/>
        <v>32.968499999999999</v>
      </c>
    </row>
    <row r="20" spans="1:38" s="47" customFormat="1" ht="25.5" customHeight="1" x14ac:dyDescent="0.2">
      <c r="A20" s="31">
        <v>2</v>
      </c>
      <c r="B20" s="75" t="s">
        <v>165</v>
      </c>
      <c r="C20" s="76"/>
      <c r="D20" s="76"/>
      <c r="E20" s="76"/>
      <c r="F20" s="77"/>
      <c r="G20" s="21">
        <f>SUM(G21:G29)</f>
        <v>19898</v>
      </c>
      <c r="H20" s="21">
        <f t="shared" ref="H20:M20" si="10">SUM(H21:H29)</f>
        <v>17302</v>
      </c>
      <c r="I20" s="21">
        <f t="shared" si="10"/>
        <v>2596</v>
      </c>
      <c r="J20" s="21">
        <f t="shared" si="10"/>
        <v>19898</v>
      </c>
      <c r="K20" s="21">
        <f t="shared" si="10"/>
        <v>17302</v>
      </c>
      <c r="L20" s="21">
        <f t="shared" si="10"/>
        <v>1733</v>
      </c>
      <c r="M20" s="21">
        <f t="shared" si="10"/>
        <v>863</v>
      </c>
      <c r="N20" s="22">
        <f>SUM(N21:N29)</f>
        <v>1538.5850000000003</v>
      </c>
      <c r="O20" s="22">
        <f t="shared" ref="O20:Y20" si="11">SUM(O21:O29)</f>
        <v>242.874</v>
      </c>
      <c r="P20" s="22">
        <f t="shared" si="11"/>
        <v>502.71099999999996</v>
      </c>
      <c r="Q20" s="22">
        <f t="shared" si="11"/>
        <v>793</v>
      </c>
      <c r="R20" s="22">
        <f t="shared" si="11"/>
        <v>1232.711</v>
      </c>
      <c r="S20" s="22">
        <f t="shared" si="11"/>
        <v>0</v>
      </c>
      <c r="T20" s="22">
        <f t="shared" si="11"/>
        <v>0</v>
      </c>
      <c r="U20" s="22">
        <f t="shared" si="11"/>
        <v>242.874</v>
      </c>
      <c r="V20" s="22">
        <f t="shared" si="11"/>
        <v>439.71099999999996</v>
      </c>
      <c r="W20" s="22">
        <f t="shared" si="11"/>
        <v>0</v>
      </c>
      <c r="X20" s="22">
        <f t="shared" si="11"/>
        <v>63</v>
      </c>
      <c r="Y20" s="22">
        <f t="shared" si="11"/>
        <v>793</v>
      </c>
      <c r="Z20" s="21"/>
      <c r="AA20" s="38">
        <f>N20-R20-U20-X20</f>
        <v>2.5579538487363607E-13</v>
      </c>
      <c r="AB20" s="51">
        <v>15845.815467754686</v>
      </c>
      <c r="AC20" s="51">
        <v>1594.9799542921171</v>
      </c>
      <c r="AD20" s="38">
        <f t="shared" si="8"/>
        <v>-17440.795422046802</v>
      </c>
      <c r="AJ20" s="47" t="s">
        <v>185</v>
      </c>
      <c r="AL20" s="47" t="s">
        <v>186</v>
      </c>
    </row>
    <row r="21" spans="1:38" s="40" customFormat="1" ht="31.5" x14ac:dyDescent="0.2">
      <c r="A21" s="28"/>
      <c r="B21" s="34" t="s">
        <v>72</v>
      </c>
      <c r="C21" s="35" t="s">
        <v>73</v>
      </c>
      <c r="D21" s="35" t="s">
        <v>74</v>
      </c>
      <c r="E21" s="35" t="s">
        <v>51</v>
      </c>
      <c r="F21" s="35" t="s">
        <v>62</v>
      </c>
      <c r="G21" s="19">
        <v>563</v>
      </c>
      <c r="H21" s="25">
        <v>490</v>
      </c>
      <c r="I21" s="25">
        <v>73</v>
      </c>
      <c r="J21" s="19">
        <v>563</v>
      </c>
      <c r="K21" s="25">
        <v>490</v>
      </c>
      <c r="L21" s="25">
        <v>49</v>
      </c>
      <c r="M21" s="25">
        <v>24</v>
      </c>
      <c r="N21" s="20">
        <f>O21+P21+Q21</f>
        <v>80.055000000000007</v>
      </c>
      <c r="O21" s="24">
        <v>7.96</v>
      </c>
      <c r="P21" s="24">
        <v>49.094999999999999</v>
      </c>
      <c r="Q21" s="24">
        <v>23</v>
      </c>
      <c r="R21" s="20">
        <f t="shared" ref="R21" si="12">S21+V21+Y21</f>
        <v>72.094999999999999</v>
      </c>
      <c r="S21" s="20">
        <f>O21+T21-U21</f>
        <v>0</v>
      </c>
      <c r="T21" s="24"/>
      <c r="U21" s="24">
        <v>7.96</v>
      </c>
      <c r="V21" s="20">
        <f>P21+W21-X21</f>
        <v>49.094999999999999</v>
      </c>
      <c r="W21" s="24"/>
      <c r="X21" s="24"/>
      <c r="Y21" s="24">
        <f>Q21</f>
        <v>23</v>
      </c>
      <c r="Z21" s="26" t="s">
        <v>187</v>
      </c>
      <c r="AA21" s="38">
        <f t="shared" ref="AA21:AA38" si="13">AB21+AC21</f>
        <v>519.87797158081707</v>
      </c>
      <c r="AB21" s="40">
        <v>471.70724689165183</v>
      </c>
      <c r="AC21" s="40">
        <v>48.170724689165183</v>
      </c>
      <c r="AD21" s="38">
        <f t="shared" si="8"/>
        <v>5.6843418860808015E-14</v>
      </c>
      <c r="AE21" s="40">
        <f>AF21+AG21+AH21</f>
        <v>542.98199999999997</v>
      </c>
      <c r="AF21" s="40">
        <v>471.70724689165183</v>
      </c>
      <c r="AG21" s="40">
        <v>48.170724689165183</v>
      </c>
      <c r="AH21" s="40">
        <v>23.104028419182949</v>
      </c>
      <c r="AI21" s="40">
        <v>490</v>
      </c>
      <c r="AJ21" s="40">
        <f>AI21-AF21</f>
        <v>18.292753108348165</v>
      </c>
      <c r="AK21" s="40">
        <v>51</v>
      </c>
      <c r="AL21" s="40">
        <f>AK21-AG21</f>
        <v>2.8292753108348165</v>
      </c>
    </row>
    <row r="22" spans="1:38" s="40" customFormat="1" ht="21" x14ac:dyDescent="0.2">
      <c r="A22" s="28"/>
      <c r="B22" s="34" t="s">
        <v>75</v>
      </c>
      <c r="C22" s="35" t="s">
        <v>73</v>
      </c>
      <c r="D22" s="35" t="s">
        <v>41</v>
      </c>
      <c r="E22" s="35" t="s">
        <v>76</v>
      </c>
      <c r="F22" s="35" t="s">
        <v>62</v>
      </c>
      <c r="G22" s="19">
        <v>2496</v>
      </c>
      <c r="H22" s="25">
        <v>2171</v>
      </c>
      <c r="I22" s="25">
        <v>325</v>
      </c>
      <c r="J22" s="19">
        <v>2496</v>
      </c>
      <c r="K22" s="25">
        <v>2171</v>
      </c>
      <c r="L22" s="25">
        <v>218</v>
      </c>
      <c r="M22" s="25">
        <v>107</v>
      </c>
      <c r="N22" s="20">
        <f t="shared" ref="N22:N29" si="14">O22+P22+Q22</f>
        <v>171.197</v>
      </c>
      <c r="O22" s="24">
        <v>10.196999999999999</v>
      </c>
      <c r="P22" s="24">
        <v>66</v>
      </c>
      <c r="Q22" s="24">
        <v>95</v>
      </c>
      <c r="R22" s="20">
        <f t="shared" ref="R22:R29" si="15">S22+V22+Y22</f>
        <v>161</v>
      </c>
      <c r="S22" s="20">
        <f t="shared" ref="S22:S29" si="16">O22+T22-U22</f>
        <v>0</v>
      </c>
      <c r="T22" s="24"/>
      <c r="U22" s="24">
        <v>10.196999999999999</v>
      </c>
      <c r="V22" s="20">
        <f t="shared" ref="V22:V29" si="17">P22+W22-X22</f>
        <v>66</v>
      </c>
      <c r="W22" s="24"/>
      <c r="X22" s="24"/>
      <c r="Y22" s="24">
        <f t="shared" ref="Y22:Y29" si="18">Q22</f>
        <v>95</v>
      </c>
      <c r="Z22" s="27" t="s">
        <v>170</v>
      </c>
      <c r="AA22" s="38">
        <f t="shared" si="13"/>
        <v>2122.1984599358975</v>
      </c>
      <c r="AB22" s="40">
        <v>1927.6357708333335</v>
      </c>
      <c r="AC22" s="40">
        <v>194.56268910256409</v>
      </c>
      <c r="AD22" s="38">
        <f t="shared" si="8"/>
        <v>0</v>
      </c>
      <c r="AE22" s="40">
        <f t="shared" ref="AE22:AE29" si="19">AF22+AG22+AH22</f>
        <v>2217.2040000000002</v>
      </c>
      <c r="AF22" s="40">
        <v>1927.6357708333335</v>
      </c>
      <c r="AG22" s="40">
        <v>194.56268910256409</v>
      </c>
      <c r="AH22" s="40">
        <v>95.005540064102576</v>
      </c>
      <c r="AI22" s="40">
        <v>2071</v>
      </c>
      <c r="AJ22" s="40">
        <f t="shared" ref="AJ22:AJ29" si="20">AI22-AF22</f>
        <v>143.36422916666652</v>
      </c>
      <c r="AK22" s="40">
        <v>206</v>
      </c>
      <c r="AL22" s="40">
        <f t="shared" ref="AL22:AL29" si="21">AK22-AG22</f>
        <v>11.437310897435907</v>
      </c>
    </row>
    <row r="23" spans="1:38" s="40" customFormat="1" ht="21" x14ac:dyDescent="0.2">
      <c r="A23" s="28"/>
      <c r="B23" s="34" t="s">
        <v>77</v>
      </c>
      <c r="C23" s="35" t="s">
        <v>73</v>
      </c>
      <c r="D23" s="35" t="s">
        <v>78</v>
      </c>
      <c r="E23" s="35" t="s">
        <v>79</v>
      </c>
      <c r="F23" s="35" t="s">
        <v>62</v>
      </c>
      <c r="G23" s="19">
        <v>2455</v>
      </c>
      <c r="H23" s="25">
        <v>2136</v>
      </c>
      <c r="I23" s="25">
        <v>319</v>
      </c>
      <c r="J23" s="19">
        <v>2455</v>
      </c>
      <c r="K23" s="25">
        <v>2136</v>
      </c>
      <c r="L23" s="25">
        <v>213</v>
      </c>
      <c r="M23" s="25">
        <v>106</v>
      </c>
      <c r="N23" s="20">
        <f t="shared" si="14"/>
        <v>98</v>
      </c>
      <c r="O23" s="24">
        <v>0</v>
      </c>
      <c r="P23" s="24">
        <v>0</v>
      </c>
      <c r="Q23" s="24">
        <v>98</v>
      </c>
      <c r="R23" s="20">
        <f t="shared" si="15"/>
        <v>98</v>
      </c>
      <c r="S23" s="20">
        <f t="shared" si="16"/>
        <v>0</v>
      </c>
      <c r="T23" s="24"/>
      <c r="U23" s="24">
        <v>0</v>
      </c>
      <c r="V23" s="20">
        <f t="shared" si="17"/>
        <v>0</v>
      </c>
      <c r="W23" s="24"/>
      <c r="X23" s="24"/>
      <c r="Y23" s="24">
        <f t="shared" si="18"/>
        <v>98</v>
      </c>
      <c r="Z23" s="27" t="s">
        <v>170</v>
      </c>
      <c r="AA23" s="38">
        <f t="shared" si="13"/>
        <v>2156.3457608961303</v>
      </c>
      <c r="AB23" s="40">
        <v>1959.9057238289206</v>
      </c>
      <c r="AC23" s="40">
        <v>196.44003706720977</v>
      </c>
      <c r="AD23" s="38">
        <f t="shared" si="8"/>
        <v>0</v>
      </c>
      <c r="AE23" s="40">
        <f t="shared" si="19"/>
        <v>2253.607</v>
      </c>
      <c r="AF23" s="40">
        <v>1959.9057238289206</v>
      </c>
      <c r="AG23" s="40">
        <v>196.44003706720977</v>
      </c>
      <c r="AH23" s="40">
        <v>97.261239103869656</v>
      </c>
      <c r="AI23" s="40">
        <v>2036</v>
      </c>
      <c r="AJ23" s="40">
        <f t="shared" si="20"/>
        <v>76.0942761710794</v>
      </c>
      <c r="AK23" s="40">
        <v>204</v>
      </c>
      <c r="AL23" s="40">
        <f t="shared" si="21"/>
        <v>7.5599629327902278</v>
      </c>
    </row>
    <row r="24" spans="1:38" s="40" customFormat="1" ht="21" x14ac:dyDescent="0.2">
      <c r="A24" s="28"/>
      <c r="B24" s="34" t="s">
        <v>80</v>
      </c>
      <c r="C24" s="35" t="s">
        <v>73</v>
      </c>
      <c r="D24" s="35" t="s">
        <v>81</v>
      </c>
      <c r="E24" s="35" t="s">
        <v>42</v>
      </c>
      <c r="F24" s="35" t="s">
        <v>62</v>
      </c>
      <c r="G24" s="19">
        <v>3206</v>
      </c>
      <c r="H24" s="25">
        <v>2788</v>
      </c>
      <c r="I24" s="25">
        <v>418</v>
      </c>
      <c r="J24" s="19">
        <v>3206</v>
      </c>
      <c r="K24" s="25">
        <v>2788</v>
      </c>
      <c r="L24" s="25">
        <v>279</v>
      </c>
      <c r="M24" s="25">
        <v>139</v>
      </c>
      <c r="N24" s="20">
        <f t="shared" si="14"/>
        <v>221.12899999999999</v>
      </c>
      <c r="O24" s="24">
        <v>54.884</v>
      </c>
      <c r="P24" s="24">
        <v>36.244999999999997</v>
      </c>
      <c r="Q24" s="24">
        <v>130</v>
      </c>
      <c r="R24" s="20">
        <f t="shared" si="15"/>
        <v>148.245</v>
      </c>
      <c r="S24" s="20">
        <f t="shared" si="16"/>
        <v>0</v>
      </c>
      <c r="T24" s="24"/>
      <c r="U24" s="24">
        <v>54.884</v>
      </c>
      <c r="V24" s="20">
        <f t="shared" si="17"/>
        <v>18.244999999999997</v>
      </c>
      <c r="W24" s="24"/>
      <c r="X24" s="24">
        <v>18</v>
      </c>
      <c r="Y24" s="24">
        <f t="shared" si="18"/>
        <v>130</v>
      </c>
      <c r="Z24" s="27" t="s">
        <v>170</v>
      </c>
      <c r="AA24" s="38">
        <f t="shared" si="13"/>
        <v>2856.6276406737361</v>
      </c>
      <c r="AB24" s="40">
        <v>2595.8558402994381</v>
      </c>
      <c r="AC24" s="40">
        <v>260.77180037429821</v>
      </c>
      <c r="AD24" s="38">
        <f t="shared" si="8"/>
        <v>0</v>
      </c>
      <c r="AE24" s="40">
        <f t="shared" si="19"/>
        <v>2986.0479999999993</v>
      </c>
      <c r="AF24" s="40">
        <v>2595.8558402994381</v>
      </c>
      <c r="AG24" s="40">
        <v>260.77180037429821</v>
      </c>
      <c r="AH24" s="40">
        <v>129.42035932626325</v>
      </c>
      <c r="AI24" s="40">
        <v>2788</v>
      </c>
      <c r="AJ24" s="40">
        <f t="shared" si="20"/>
        <v>192.14415970056189</v>
      </c>
      <c r="AK24" s="40">
        <v>279</v>
      </c>
      <c r="AL24" s="40">
        <f t="shared" si="21"/>
        <v>18.228199625701791</v>
      </c>
    </row>
    <row r="25" spans="1:38" s="40" customFormat="1" ht="21" x14ac:dyDescent="0.2">
      <c r="A25" s="28"/>
      <c r="B25" s="34" t="s">
        <v>82</v>
      </c>
      <c r="C25" s="35" t="s">
        <v>73</v>
      </c>
      <c r="D25" s="35" t="s">
        <v>83</v>
      </c>
      <c r="E25" s="35" t="s">
        <v>84</v>
      </c>
      <c r="F25" s="35" t="s">
        <v>62</v>
      </c>
      <c r="G25" s="19">
        <v>2920</v>
      </c>
      <c r="H25" s="25">
        <v>2539</v>
      </c>
      <c r="I25" s="25">
        <v>381</v>
      </c>
      <c r="J25" s="19">
        <v>2920</v>
      </c>
      <c r="K25" s="25">
        <v>2539</v>
      </c>
      <c r="L25" s="25">
        <v>255</v>
      </c>
      <c r="M25" s="25">
        <v>126</v>
      </c>
      <c r="N25" s="20">
        <f t="shared" si="14"/>
        <v>324.52199999999999</v>
      </c>
      <c r="O25" s="24">
        <v>116.52200000000001</v>
      </c>
      <c r="P25" s="24">
        <v>98</v>
      </c>
      <c r="Q25" s="24">
        <v>110</v>
      </c>
      <c r="R25" s="20">
        <f t="shared" si="15"/>
        <v>181</v>
      </c>
      <c r="S25" s="20">
        <f t="shared" si="16"/>
        <v>0</v>
      </c>
      <c r="T25" s="24"/>
      <c r="U25" s="24">
        <v>116.52200000000001</v>
      </c>
      <c r="V25" s="20">
        <f t="shared" si="17"/>
        <v>71</v>
      </c>
      <c r="W25" s="24"/>
      <c r="X25" s="24">
        <v>27</v>
      </c>
      <c r="Y25" s="24">
        <f t="shared" si="18"/>
        <v>110</v>
      </c>
      <c r="Z25" s="27" t="s">
        <v>170</v>
      </c>
      <c r="AA25" s="38">
        <f t="shared" si="13"/>
        <v>2439.8029999999999</v>
      </c>
      <c r="AB25" s="40">
        <v>2217.2199999999998</v>
      </c>
      <c r="AC25" s="40">
        <v>222.583</v>
      </c>
      <c r="AD25" s="38">
        <f t="shared" si="8"/>
        <v>0</v>
      </c>
      <c r="AE25" s="40">
        <f t="shared" si="19"/>
        <v>2549.8029999999999</v>
      </c>
      <c r="AF25" s="40">
        <v>2217.2199999999998</v>
      </c>
      <c r="AG25" s="40">
        <v>222.583</v>
      </c>
      <c r="AH25" s="40">
        <v>110</v>
      </c>
      <c r="AI25" s="40">
        <v>2505</v>
      </c>
      <c r="AJ25" s="40">
        <f t="shared" si="20"/>
        <v>287.7800000000002</v>
      </c>
      <c r="AK25" s="40">
        <v>251</v>
      </c>
      <c r="AL25" s="40">
        <f t="shared" si="21"/>
        <v>28.417000000000002</v>
      </c>
    </row>
    <row r="26" spans="1:38" s="40" customFormat="1" ht="21" x14ac:dyDescent="0.2">
      <c r="A26" s="28"/>
      <c r="B26" s="34" t="s">
        <v>85</v>
      </c>
      <c r="C26" s="35" t="s">
        <v>73</v>
      </c>
      <c r="D26" s="35" t="s">
        <v>86</v>
      </c>
      <c r="E26" s="35" t="s">
        <v>87</v>
      </c>
      <c r="F26" s="35" t="s">
        <v>62</v>
      </c>
      <c r="G26" s="19">
        <v>3780</v>
      </c>
      <c r="H26" s="25">
        <v>3286</v>
      </c>
      <c r="I26" s="25">
        <v>494</v>
      </c>
      <c r="J26" s="19">
        <v>3780</v>
      </c>
      <c r="K26" s="25">
        <v>3286</v>
      </c>
      <c r="L26" s="25">
        <v>329</v>
      </c>
      <c r="M26" s="25">
        <v>165</v>
      </c>
      <c r="N26" s="20">
        <f t="shared" si="14"/>
        <v>241.899</v>
      </c>
      <c r="O26" s="24">
        <v>53.311</v>
      </c>
      <c r="P26" s="24">
        <v>33.588000000000001</v>
      </c>
      <c r="Q26" s="24">
        <v>155</v>
      </c>
      <c r="R26" s="20">
        <f t="shared" si="15"/>
        <v>170.58799999999999</v>
      </c>
      <c r="S26" s="20">
        <f t="shared" si="16"/>
        <v>0</v>
      </c>
      <c r="T26" s="24"/>
      <c r="U26" s="24">
        <v>53.311</v>
      </c>
      <c r="V26" s="20">
        <f t="shared" si="17"/>
        <v>15.588000000000001</v>
      </c>
      <c r="W26" s="24"/>
      <c r="X26" s="24">
        <v>18</v>
      </c>
      <c r="Y26" s="24">
        <f t="shared" si="18"/>
        <v>155</v>
      </c>
      <c r="Z26" s="27" t="s">
        <v>170</v>
      </c>
      <c r="AA26" s="38">
        <f t="shared" si="13"/>
        <v>3383.8108452380952</v>
      </c>
      <c r="AB26" s="40">
        <v>3074.9423063492063</v>
      </c>
      <c r="AC26" s="40">
        <v>308.86853888888891</v>
      </c>
      <c r="AD26" s="38">
        <f t="shared" si="8"/>
        <v>0</v>
      </c>
      <c r="AE26" s="40">
        <f t="shared" si="19"/>
        <v>3538.2130000000002</v>
      </c>
      <c r="AF26" s="40">
        <v>3074.9423063492063</v>
      </c>
      <c r="AG26" s="40">
        <v>308.86853888888891</v>
      </c>
      <c r="AH26" s="40">
        <v>154.40215476190477</v>
      </c>
      <c r="AI26" s="40">
        <v>3286</v>
      </c>
      <c r="AJ26" s="40">
        <f t="shared" si="20"/>
        <v>211.05769365079368</v>
      </c>
      <c r="AK26" s="40">
        <v>327</v>
      </c>
      <c r="AL26" s="40">
        <f t="shared" si="21"/>
        <v>18.131461111111093</v>
      </c>
    </row>
    <row r="27" spans="1:38" s="40" customFormat="1" ht="21" x14ac:dyDescent="0.2">
      <c r="A27" s="28"/>
      <c r="B27" s="34" t="s">
        <v>88</v>
      </c>
      <c r="C27" s="35" t="s">
        <v>73</v>
      </c>
      <c r="D27" s="35" t="s">
        <v>41</v>
      </c>
      <c r="E27" s="35" t="s">
        <v>89</v>
      </c>
      <c r="F27" s="35" t="s">
        <v>62</v>
      </c>
      <c r="G27" s="19">
        <v>1987</v>
      </c>
      <c r="H27" s="25">
        <v>1727</v>
      </c>
      <c r="I27" s="25">
        <v>260</v>
      </c>
      <c r="J27" s="19">
        <v>1987</v>
      </c>
      <c r="K27" s="25">
        <v>1727</v>
      </c>
      <c r="L27" s="25">
        <v>174</v>
      </c>
      <c r="M27" s="25">
        <v>86</v>
      </c>
      <c r="N27" s="20">
        <f t="shared" si="14"/>
        <v>173.13499999999999</v>
      </c>
      <c r="O27" s="24">
        <v>0</v>
      </c>
      <c r="P27" s="24">
        <v>95.135000000000005</v>
      </c>
      <c r="Q27" s="24">
        <v>78</v>
      </c>
      <c r="R27" s="20">
        <f t="shared" si="15"/>
        <v>173.13499999999999</v>
      </c>
      <c r="S27" s="20">
        <f t="shared" si="16"/>
        <v>0</v>
      </c>
      <c r="T27" s="24"/>
      <c r="U27" s="24">
        <v>0</v>
      </c>
      <c r="V27" s="20">
        <f t="shared" si="17"/>
        <v>95.135000000000005</v>
      </c>
      <c r="W27" s="24"/>
      <c r="X27" s="24"/>
      <c r="Y27" s="24">
        <f t="shared" si="18"/>
        <v>78</v>
      </c>
      <c r="Z27" s="27" t="s">
        <v>170</v>
      </c>
      <c r="AA27" s="38">
        <f t="shared" si="13"/>
        <v>1719.9565279315552</v>
      </c>
      <c r="AB27" s="40">
        <v>1561.6191077000503</v>
      </c>
      <c r="AC27" s="40">
        <v>158.33742023150478</v>
      </c>
      <c r="AD27" s="38">
        <f t="shared" si="8"/>
        <v>0</v>
      </c>
      <c r="AE27" s="40">
        <f t="shared" si="19"/>
        <v>1797.721</v>
      </c>
      <c r="AF27" s="40">
        <v>1561.6191077000503</v>
      </c>
      <c r="AG27" s="40">
        <v>158.33742023150478</v>
      </c>
      <c r="AH27" s="40">
        <v>77.764472068444888</v>
      </c>
      <c r="AI27" s="40">
        <v>1627</v>
      </c>
      <c r="AJ27" s="40">
        <f t="shared" si="20"/>
        <v>65.380892299949664</v>
      </c>
      <c r="AK27" s="40">
        <v>165</v>
      </c>
      <c r="AL27" s="40">
        <f t="shared" si="21"/>
        <v>6.6625797684952204</v>
      </c>
    </row>
    <row r="28" spans="1:38" s="40" customFormat="1" ht="21" x14ac:dyDescent="0.2">
      <c r="A28" s="28"/>
      <c r="B28" s="34" t="s">
        <v>90</v>
      </c>
      <c r="C28" s="35" t="s">
        <v>73</v>
      </c>
      <c r="D28" s="35" t="s">
        <v>91</v>
      </c>
      <c r="E28" s="35" t="s">
        <v>79</v>
      </c>
      <c r="F28" s="35" t="s">
        <v>62</v>
      </c>
      <c r="G28" s="19">
        <v>2058</v>
      </c>
      <c r="H28" s="25">
        <v>1788</v>
      </c>
      <c r="I28" s="25">
        <v>270</v>
      </c>
      <c r="J28" s="19">
        <v>2058</v>
      </c>
      <c r="K28" s="25">
        <v>1788</v>
      </c>
      <c r="L28" s="25">
        <v>180</v>
      </c>
      <c r="M28" s="25">
        <v>90</v>
      </c>
      <c r="N28" s="20">
        <f t="shared" si="14"/>
        <v>197.65199999999999</v>
      </c>
      <c r="O28" s="24">
        <v>0</v>
      </c>
      <c r="P28" s="24">
        <v>112.652</v>
      </c>
      <c r="Q28" s="24">
        <v>85</v>
      </c>
      <c r="R28" s="20">
        <f t="shared" si="15"/>
        <v>197.65199999999999</v>
      </c>
      <c r="S28" s="20">
        <f t="shared" si="16"/>
        <v>0</v>
      </c>
      <c r="T28" s="24"/>
      <c r="U28" s="24">
        <v>0</v>
      </c>
      <c r="V28" s="20">
        <f t="shared" si="17"/>
        <v>112.652</v>
      </c>
      <c r="W28" s="24"/>
      <c r="X28" s="24"/>
      <c r="Y28" s="24">
        <f t="shared" si="18"/>
        <v>85</v>
      </c>
      <c r="Z28" s="27" t="s">
        <v>170</v>
      </c>
      <c r="AA28" s="38">
        <f t="shared" si="13"/>
        <v>1857.5163381924197</v>
      </c>
      <c r="AB28" s="40">
        <v>1686.7130145772594</v>
      </c>
      <c r="AC28" s="40">
        <v>170.80332361516034</v>
      </c>
      <c r="AD28" s="38">
        <f t="shared" si="8"/>
        <v>0</v>
      </c>
      <c r="AE28" s="40">
        <f t="shared" si="19"/>
        <v>1942.4179999999999</v>
      </c>
      <c r="AF28" s="40">
        <v>1686.7130145772594</v>
      </c>
      <c r="AG28" s="40">
        <v>170.80332361516034</v>
      </c>
      <c r="AH28" s="40">
        <v>84.901661807580169</v>
      </c>
      <c r="AI28" s="40">
        <v>1788</v>
      </c>
      <c r="AJ28" s="40">
        <f t="shared" si="20"/>
        <v>101.2869854227406</v>
      </c>
      <c r="AK28" s="40">
        <v>179</v>
      </c>
      <c r="AL28" s="40">
        <f t="shared" si="21"/>
        <v>8.1966763848396624</v>
      </c>
    </row>
    <row r="29" spans="1:38" s="40" customFormat="1" ht="21" x14ac:dyDescent="0.2">
      <c r="A29" s="28"/>
      <c r="B29" s="34" t="s">
        <v>92</v>
      </c>
      <c r="C29" s="35" t="s">
        <v>73</v>
      </c>
      <c r="D29" s="35" t="s">
        <v>74</v>
      </c>
      <c r="E29" s="35" t="s">
        <v>93</v>
      </c>
      <c r="F29" s="35" t="s">
        <v>65</v>
      </c>
      <c r="G29" s="19">
        <v>433</v>
      </c>
      <c r="H29" s="25">
        <v>377</v>
      </c>
      <c r="I29" s="25">
        <v>56</v>
      </c>
      <c r="J29" s="19">
        <v>433</v>
      </c>
      <c r="K29" s="25">
        <v>377</v>
      </c>
      <c r="L29" s="25">
        <v>36</v>
      </c>
      <c r="M29" s="25">
        <v>20</v>
      </c>
      <c r="N29" s="20">
        <f t="shared" si="14"/>
        <v>30.996000000000002</v>
      </c>
      <c r="O29" s="24">
        <v>0</v>
      </c>
      <c r="P29" s="24">
        <v>11.996</v>
      </c>
      <c r="Q29" s="24">
        <v>19</v>
      </c>
      <c r="R29" s="20">
        <f t="shared" si="15"/>
        <v>30.996000000000002</v>
      </c>
      <c r="S29" s="20">
        <f t="shared" si="16"/>
        <v>0</v>
      </c>
      <c r="T29" s="24"/>
      <c r="U29" s="24">
        <v>0</v>
      </c>
      <c r="V29" s="20">
        <f t="shared" si="17"/>
        <v>11.996</v>
      </c>
      <c r="W29" s="24"/>
      <c r="X29" s="24"/>
      <c r="Y29" s="24">
        <f t="shared" si="18"/>
        <v>19</v>
      </c>
      <c r="Z29" s="27" t="s">
        <v>170</v>
      </c>
      <c r="AA29" s="38">
        <f t="shared" si="13"/>
        <v>384.6588775981524</v>
      </c>
      <c r="AB29" s="40">
        <v>350.21645727482678</v>
      </c>
      <c r="AC29" s="40">
        <v>34.442420323325635</v>
      </c>
      <c r="AD29" s="38">
        <f t="shared" si="8"/>
        <v>0</v>
      </c>
      <c r="AE29" s="40">
        <f t="shared" si="19"/>
        <v>403.238</v>
      </c>
      <c r="AF29" s="40">
        <v>350.21645727482678</v>
      </c>
      <c r="AG29" s="40">
        <v>34.442420323325635</v>
      </c>
      <c r="AH29" s="40">
        <v>18.579122401847574</v>
      </c>
      <c r="AI29" s="40">
        <v>377</v>
      </c>
      <c r="AJ29" s="40">
        <f t="shared" si="20"/>
        <v>26.78354272517322</v>
      </c>
      <c r="AK29" s="40">
        <v>36</v>
      </c>
      <c r="AL29" s="40">
        <f t="shared" si="21"/>
        <v>1.557579676674365</v>
      </c>
    </row>
    <row r="30" spans="1:38" s="40" customFormat="1" ht="29.25" customHeight="1" x14ac:dyDescent="0.2">
      <c r="A30" s="29" t="s">
        <v>18</v>
      </c>
      <c r="B30" s="52" t="s">
        <v>1</v>
      </c>
      <c r="C30" s="52"/>
      <c r="D30" s="52"/>
      <c r="E30" s="52"/>
      <c r="F30" s="52"/>
      <c r="G30" s="19">
        <f>SUM(G32:G33)+G34</f>
        <v>7832</v>
      </c>
      <c r="H30" s="19">
        <f t="shared" ref="H30:Y30" si="22">SUM(H32:H33)+H34</f>
        <v>6812</v>
      </c>
      <c r="I30" s="19">
        <f t="shared" si="22"/>
        <v>1020</v>
      </c>
      <c r="J30" s="19">
        <f t="shared" si="22"/>
        <v>7832</v>
      </c>
      <c r="K30" s="19">
        <f t="shared" si="22"/>
        <v>6812</v>
      </c>
      <c r="L30" s="19">
        <f t="shared" si="22"/>
        <v>680</v>
      </c>
      <c r="M30" s="19">
        <f t="shared" si="22"/>
        <v>340</v>
      </c>
      <c r="N30" s="19">
        <f t="shared" si="22"/>
        <v>7805</v>
      </c>
      <c r="O30" s="19">
        <f t="shared" si="22"/>
        <v>7126</v>
      </c>
      <c r="P30" s="19">
        <f t="shared" si="22"/>
        <v>679</v>
      </c>
      <c r="Q30" s="19">
        <f t="shared" si="22"/>
        <v>0</v>
      </c>
      <c r="R30" s="19">
        <f t="shared" si="22"/>
        <v>4395</v>
      </c>
      <c r="S30" s="19">
        <f t="shared" si="22"/>
        <v>4026</v>
      </c>
      <c r="T30" s="19">
        <f t="shared" si="22"/>
        <v>666</v>
      </c>
      <c r="U30" s="19">
        <f t="shared" si="22"/>
        <v>3766</v>
      </c>
      <c r="V30" s="19">
        <f t="shared" si="22"/>
        <v>369</v>
      </c>
      <c r="W30" s="19">
        <f t="shared" si="22"/>
        <v>369</v>
      </c>
      <c r="X30" s="19">
        <f t="shared" si="22"/>
        <v>679</v>
      </c>
      <c r="Y30" s="19">
        <f t="shared" si="22"/>
        <v>0</v>
      </c>
      <c r="Z30" s="19"/>
      <c r="AA30" s="38"/>
      <c r="AB30" s="39">
        <v>3630</v>
      </c>
      <c r="AC30" s="39">
        <v>0</v>
      </c>
      <c r="AD30" s="38">
        <f t="shared" si="8"/>
        <v>-3630</v>
      </c>
    </row>
    <row r="31" spans="1:38" s="40" customFormat="1" ht="11.25" x14ac:dyDescent="0.2">
      <c r="A31" s="29" t="s">
        <v>100</v>
      </c>
      <c r="B31" s="36" t="s">
        <v>108</v>
      </c>
      <c r="C31" s="36"/>
      <c r="D31" s="36"/>
      <c r="E31" s="36"/>
      <c r="F31" s="36"/>
      <c r="G31" s="19"/>
      <c r="H31" s="19"/>
      <c r="I31" s="19"/>
      <c r="J31" s="19"/>
      <c r="K31" s="19"/>
      <c r="L31" s="19"/>
      <c r="M31" s="19"/>
      <c r="N31" s="21"/>
      <c r="O31" s="21"/>
      <c r="P31" s="21"/>
      <c r="Q31" s="21"/>
      <c r="R31" s="21"/>
      <c r="S31" s="21"/>
      <c r="T31" s="21"/>
      <c r="U31" s="21"/>
      <c r="V31" s="21"/>
      <c r="W31" s="21"/>
      <c r="X31" s="21"/>
      <c r="Y31" s="21"/>
      <c r="Z31" s="21"/>
      <c r="AA31" s="38"/>
      <c r="AB31" s="39"/>
      <c r="AC31" s="39"/>
      <c r="AD31" s="38">
        <f t="shared" si="8"/>
        <v>0</v>
      </c>
    </row>
    <row r="32" spans="1:38" s="47" customFormat="1" ht="16.5" customHeight="1" x14ac:dyDescent="0.2">
      <c r="A32" s="37"/>
      <c r="B32" s="72" t="s">
        <v>183</v>
      </c>
      <c r="C32" s="73"/>
      <c r="D32" s="73"/>
      <c r="E32" s="73"/>
      <c r="F32" s="74"/>
      <c r="G32" s="23"/>
      <c r="H32" s="23"/>
      <c r="I32" s="23"/>
      <c r="J32" s="23"/>
      <c r="K32" s="23"/>
      <c r="L32" s="23"/>
      <c r="M32" s="23"/>
      <c r="N32" s="19">
        <f t="shared" ref="N32" si="23">O32+P32</f>
        <v>3779</v>
      </c>
      <c r="O32" s="23">
        <v>3100</v>
      </c>
      <c r="P32" s="23">
        <v>679</v>
      </c>
      <c r="Q32" s="23">
        <v>0</v>
      </c>
      <c r="R32" s="19">
        <f t="shared" ref="R32" si="24">S32+V32+Y32</f>
        <v>0</v>
      </c>
      <c r="S32" s="25">
        <f t="shared" ref="S32" si="25">O32+T32-U32</f>
        <v>0</v>
      </c>
      <c r="T32" s="25">
        <v>0</v>
      </c>
      <c r="U32" s="25">
        <f>O32</f>
        <v>3100</v>
      </c>
      <c r="V32" s="25">
        <f t="shared" ref="V32" si="26">P32+W32-X32</f>
        <v>0</v>
      </c>
      <c r="W32" s="25">
        <v>0</v>
      </c>
      <c r="X32" s="25">
        <v>679</v>
      </c>
      <c r="Y32" s="25">
        <f t="shared" ref="Y32" si="27">Q32</f>
        <v>0</v>
      </c>
      <c r="Z32" s="23"/>
      <c r="AA32" s="38"/>
      <c r="AB32" s="46">
        <v>0</v>
      </c>
      <c r="AC32" s="47">
        <v>0</v>
      </c>
      <c r="AD32" s="38">
        <f t="shared" si="8"/>
        <v>0</v>
      </c>
    </row>
    <row r="33" spans="1:31" s="40" customFormat="1" ht="31.5" x14ac:dyDescent="0.2">
      <c r="A33" s="28"/>
      <c r="B33" s="34" t="s">
        <v>102</v>
      </c>
      <c r="C33" s="35" t="s">
        <v>103</v>
      </c>
      <c r="D33" s="35" t="s">
        <v>104</v>
      </c>
      <c r="E33" s="35" t="s">
        <v>84</v>
      </c>
      <c r="F33" s="35" t="s">
        <v>105</v>
      </c>
      <c r="G33" s="19">
        <v>7067</v>
      </c>
      <c r="H33" s="25">
        <v>6146</v>
      </c>
      <c r="I33" s="25">
        <v>921</v>
      </c>
      <c r="J33" s="19">
        <v>7067</v>
      </c>
      <c r="K33" s="25">
        <v>6146</v>
      </c>
      <c r="L33" s="25">
        <v>614</v>
      </c>
      <c r="M33" s="25">
        <v>307</v>
      </c>
      <c r="N33" s="19">
        <v>4026</v>
      </c>
      <c r="O33" s="25">
        <v>4026</v>
      </c>
      <c r="P33" s="25">
        <v>0</v>
      </c>
      <c r="Q33" s="19"/>
      <c r="R33" s="19">
        <f t="shared" ref="R33" si="28">S33+V33+Y33</f>
        <v>3663</v>
      </c>
      <c r="S33" s="25">
        <f t="shared" ref="S33" si="29">O33+T33-U33</f>
        <v>3360</v>
      </c>
      <c r="T33" s="25">
        <v>0</v>
      </c>
      <c r="U33" s="25">
        <v>666</v>
      </c>
      <c r="V33" s="25">
        <f t="shared" ref="V33" si="30">P33+W33-X33</f>
        <v>303</v>
      </c>
      <c r="W33" s="25">
        <f>369-W35</f>
        <v>303</v>
      </c>
      <c r="X33" s="25">
        <f>P33</f>
        <v>0</v>
      </c>
      <c r="Y33" s="25">
        <f t="shared" ref="Y33" si="31">Q33</f>
        <v>0</v>
      </c>
      <c r="Z33" s="25"/>
      <c r="AA33" s="38">
        <f t="shared" si="13"/>
        <v>3630</v>
      </c>
      <c r="AB33" s="40">
        <v>3630</v>
      </c>
      <c r="AC33" s="40">
        <v>0</v>
      </c>
      <c r="AD33" s="38">
        <f t="shared" si="8"/>
        <v>0</v>
      </c>
    </row>
    <row r="34" spans="1:31" s="40" customFormat="1" ht="11.25" x14ac:dyDescent="0.2">
      <c r="A34" s="29" t="s">
        <v>106</v>
      </c>
      <c r="B34" s="36" t="s">
        <v>107</v>
      </c>
      <c r="C34" s="36"/>
      <c r="D34" s="36"/>
      <c r="E34" s="36"/>
      <c r="F34" s="36"/>
      <c r="G34" s="19">
        <f>G35</f>
        <v>765</v>
      </c>
      <c r="H34" s="19">
        <f t="shared" ref="H34:Y34" si="32">H35</f>
        <v>666</v>
      </c>
      <c r="I34" s="19">
        <f t="shared" si="32"/>
        <v>99</v>
      </c>
      <c r="J34" s="19">
        <f t="shared" si="32"/>
        <v>765</v>
      </c>
      <c r="K34" s="19">
        <f t="shared" si="32"/>
        <v>666</v>
      </c>
      <c r="L34" s="19">
        <f t="shared" si="32"/>
        <v>66</v>
      </c>
      <c r="M34" s="19">
        <f t="shared" si="32"/>
        <v>33</v>
      </c>
      <c r="N34" s="21">
        <f t="shared" si="32"/>
        <v>0</v>
      </c>
      <c r="O34" s="21">
        <f t="shared" si="32"/>
        <v>0</v>
      </c>
      <c r="P34" s="21">
        <f t="shared" si="32"/>
        <v>0</v>
      </c>
      <c r="Q34" s="21">
        <f t="shared" si="32"/>
        <v>0</v>
      </c>
      <c r="R34" s="21">
        <f t="shared" si="32"/>
        <v>732</v>
      </c>
      <c r="S34" s="21">
        <f t="shared" si="32"/>
        <v>666</v>
      </c>
      <c r="T34" s="21">
        <f t="shared" si="32"/>
        <v>666</v>
      </c>
      <c r="U34" s="21">
        <f t="shared" si="32"/>
        <v>0</v>
      </c>
      <c r="V34" s="21">
        <f t="shared" si="32"/>
        <v>66</v>
      </c>
      <c r="W34" s="21">
        <f t="shared" si="32"/>
        <v>66</v>
      </c>
      <c r="X34" s="21">
        <f t="shared" si="32"/>
        <v>0</v>
      </c>
      <c r="Y34" s="21">
        <f t="shared" si="32"/>
        <v>0</v>
      </c>
      <c r="Z34" s="21"/>
      <c r="AA34" s="38">
        <f t="shared" si="13"/>
        <v>732</v>
      </c>
      <c r="AB34" s="39">
        <v>666</v>
      </c>
      <c r="AC34" s="39">
        <v>66</v>
      </c>
      <c r="AD34" s="38">
        <f t="shared" si="8"/>
        <v>0</v>
      </c>
    </row>
    <row r="35" spans="1:31" s="40" customFormat="1" ht="31.5" x14ac:dyDescent="0.2">
      <c r="A35" s="28"/>
      <c r="B35" s="34" t="s">
        <v>184</v>
      </c>
      <c r="C35" s="35" t="s">
        <v>46</v>
      </c>
      <c r="D35" s="35" t="s">
        <v>101</v>
      </c>
      <c r="E35" s="35" t="s">
        <v>48</v>
      </c>
      <c r="F35" s="35"/>
      <c r="G35" s="19">
        <v>765</v>
      </c>
      <c r="H35" s="25">
        <v>666</v>
      </c>
      <c r="I35" s="25">
        <v>99</v>
      </c>
      <c r="J35" s="19">
        <v>765</v>
      </c>
      <c r="K35" s="25">
        <v>666</v>
      </c>
      <c r="L35" s="25">
        <v>66</v>
      </c>
      <c r="M35" s="25">
        <v>33</v>
      </c>
      <c r="N35" s="19">
        <f t="shared" ref="N35" si="33">O35+P35</f>
        <v>0</v>
      </c>
      <c r="O35" s="25">
        <v>0</v>
      </c>
      <c r="P35" s="25">
        <v>0</v>
      </c>
      <c r="Q35" s="19"/>
      <c r="R35" s="19">
        <f t="shared" ref="R35" si="34">S35+V35+Y35</f>
        <v>732</v>
      </c>
      <c r="S35" s="25">
        <f t="shared" ref="S35" si="35">O35+T35-U35</f>
        <v>666</v>
      </c>
      <c r="T35" s="25">
        <v>666</v>
      </c>
      <c r="U35" s="25"/>
      <c r="V35" s="25">
        <f t="shared" ref="V35" si="36">P35+W35-X35</f>
        <v>66</v>
      </c>
      <c r="W35" s="25">
        <v>66</v>
      </c>
      <c r="X35" s="25">
        <f>P35</f>
        <v>0</v>
      </c>
      <c r="Y35" s="25"/>
      <c r="Z35" s="25"/>
      <c r="AA35" s="38">
        <f t="shared" si="13"/>
        <v>732</v>
      </c>
      <c r="AB35" s="40">
        <v>666</v>
      </c>
      <c r="AC35" s="40">
        <v>66</v>
      </c>
      <c r="AD35" s="38">
        <f t="shared" si="8"/>
        <v>0</v>
      </c>
    </row>
    <row r="36" spans="1:31" s="40" customFormat="1" ht="31.5" customHeight="1" x14ac:dyDescent="0.2">
      <c r="A36" s="29" t="s">
        <v>19</v>
      </c>
      <c r="B36" s="52" t="s">
        <v>2</v>
      </c>
      <c r="C36" s="52"/>
      <c r="D36" s="52"/>
      <c r="E36" s="52"/>
      <c r="F36" s="52"/>
      <c r="G36" s="19">
        <f>G37</f>
        <v>50324</v>
      </c>
      <c r="H36" s="19">
        <f t="shared" ref="H36:Y36" si="37">H37</f>
        <v>43759</v>
      </c>
      <c r="I36" s="19">
        <f t="shared" si="37"/>
        <v>6565</v>
      </c>
      <c r="J36" s="19">
        <f t="shared" si="37"/>
        <v>50211</v>
      </c>
      <c r="K36" s="19">
        <f t="shared" si="37"/>
        <v>43759</v>
      </c>
      <c r="L36" s="19">
        <f t="shared" si="37"/>
        <v>4377</v>
      </c>
      <c r="M36" s="19">
        <f t="shared" si="37"/>
        <v>2188</v>
      </c>
      <c r="N36" s="19">
        <f t="shared" si="37"/>
        <v>21276</v>
      </c>
      <c r="O36" s="19">
        <f t="shared" si="37"/>
        <v>19282</v>
      </c>
      <c r="P36" s="19">
        <f t="shared" si="37"/>
        <v>1994</v>
      </c>
      <c r="Q36" s="19">
        <f t="shared" si="37"/>
        <v>0</v>
      </c>
      <c r="R36" s="19">
        <f t="shared" si="37"/>
        <v>31069</v>
      </c>
      <c r="S36" s="19">
        <f t="shared" si="37"/>
        <v>28166</v>
      </c>
      <c r="T36" s="19">
        <f t="shared" si="37"/>
        <v>11482</v>
      </c>
      <c r="U36" s="19">
        <f t="shared" si="37"/>
        <v>2598</v>
      </c>
      <c r="V36" s="19">
        <f t="shared" si="37"/>
        <v>2903</v>
      </c>
      <c r="W36" s="19">
        <f t="shared" si="37"/>
        <v>1168</v>
      </c>
      <c r="X36" s="19">
        <f t="shared" si="37"/>
        <v>259</v>
      </c>
      <c r="Y36" s="19">
        <f t="shared" si="37"/>
        <v>0</v>
      </c>
      <c r="Z36" s="19"/>
      <c r="AA36" s="38">
        <f t="shared" si="13"/>
        <v>29990</v>
      </c>
      <c r="AB36" s="39">
        <v>27266</v>
      </c>
      <c r="AC36" s="39">
        <v>2724</v>
      </c>
      <c r="AD36" s="38">
        <f>W36-X36</f>
        <v>909</v>
      </c>
      <c r="AE36" s="38">
        <f>T36-U36</f>
        <v>8884</v>
      </c>
    </row>
    <row r="37" spans="1:31" s="43" customFormat="1" ht="27" customHeight="1" x14ac:dyDescent="0.2">
      <c r="A37" s="41"/>
      <c r="B37" s="62" t="s">
        <v>0</v>
      </c>
      <c r="C37" s="62"/>
      <c r="D37" s="62"/>
      <c r="E37" s="62"/>
      <c r="F37" s="62"/>
      <c r="G37" s="42">
        <f t="shared" ref="G37:Y37" si="38">G38+G45+G47+G49+G54+G58+G62+G65+G67+G71+G74+G42</f>
        <v>50324</v>
      </c>
      <c r="H37" s="42">
        <f t="shared" si="38"/>
        <v>43759</v>
      </c>
      <c r="I37" s="42">
        <f t="shared" si="38"/>
        <v>6565</v>
      </c>
      <c r="J37" s="42">
        <f t="shared" si="38"/>
        <v>50211</v>
      </c>
      <c r="K37" s="42">
        <f t="shared" si="38"/>
        <v>43759</v>
      </c>
      <c r="L37" s="42">
        <f t="shared" si="38"/>
        <v>4377</v>
      </c>
      <c r="M37" s="42">
        <f t="shared" si="38"/>
        <v>2188</v>
      </c>
      <c r="N37" s="42">
        <f t="shared" si="38"/>
        <v>21276</v>
      </c>
      <c r="O37" s="42">
        <f t="shared" si="38"/>
        <v>19282</v>
      </c>
      <c r="P37" s="42">
        <f t="shared" si="38"/>
        <v>1994</v>
      </c>
      <c r="Q37" s="42">
        <f t="shared" si="38"/>
        <v>0</v>
      </c>
      <c r="R37" s="42">
        <f t="shared" si="38"/>
        <v>31069</v>
      </c>
      <c r="S37" s="42">
        <f t="shared" si="38"/>
        <v>28166</v>
      </c>
      <c r="T37" s="42">
        <f t="shared" si="38"/>
        <v>11482</v>
      </c>
      <c r="U37" s="42">
        <f t="shared" si="38"/>
        <v>2598</v>
      </c>
      <c r="V37" s="42">
        <f t="shared" si="38"/>
        <v>2903</v>
      </c>
      <c r="W37" s="42">
        <f t="shared" si="38"/>
        <v>1168</v>
      </c>
      <c r="X37" s="42">
        <f t="shared" si="38"/>
        <v>259</v>
      </c>
      <c r="Y37" s="42">
        <f t="shared" si="38"/>
        <v>0</v>
      </c>
      <c r="Z37" s="42"/>
      <c r="AA37" s="38">
        <f t="shared" si="13"/>
        <v>29990</v>
      </c>
      <c r="AB37" s="39">
        <v>27266</v>
      </c>
      <c r="AC37" s="43">
        <v>2724</v>
      </c>
      <c r="AD37" s="38">
        <f t="shared" si="8"/>
        <v>0</v>
      </c>
    </row>
    <row r="38" spans="1:31" s="47" customFormat="1" ht="11.25" x14ac:dyDescent="0.2">
      <c r="A38" s="37">
        <v>1</v>
      </c>
      <c r="B38" s="44" t="s">
        <v>162</v>
      </c>
      <c r="C38" s="44"/>
      <c r="D38" s="44"/>
      <c r="E38" s="45"/>
      <c r="F38" s="37"/>
      <c r="G38" s="21">
        <f>SUM(G39:G41)</f>
        <v>19204</v>
      </c>
      <c r="H38" s="21">
        <f t="shared" ref="H38:X38" si="39">SUM(H39:H41)</f>
        <v>16701</v>
      </c>
      <c r="I38" s="21">
        <f t="shared" si="39"/>
        <v>2503</v>
      </c>
      <c r="J38" s="21">
        <f t="shared" si="39"/>
        <v>19204</v>
      </c>
      <c r="K38" s="21">
        <f t="shared" si="39"/>
        <v>16701</v>
      </c>
      <c r="L38" s="21">
        <f t="shared" si="39"/>
        <v>1670</v>
      </c>
      <c r="M38" s="21">
        <f t="shared" si="39"/>
        <v>833</v>
      </c>
      <c r="N38" s="21">
        <f t="shared" si="39"/>
        <v>7903</v>
      </c>
      <c r="O38" s="21">
        <f t="shared" si="39"/>
        <v>7114</v>
      </c>
      <c r="P38" s="21">
        <f t="shared" si="39"/>
        <v>789</v>
      </c>
      <c r="Q38" s="21">
        <f t="shared" si="39"/>
        <v>0</v>
      </c>
      <c r="R38" s="21">
        <f t="shared" si="39"/>
        <v>6992</v>
      </c>
      <c r="S38" s="21">
        <f t="shared" si="39"/>
        <v>6214</v>
      </c>
      <c r="T38" s="21">
        <f t="shared" si="39"/>
        <v>900</v>
      </c>
      <c r="U38" s="21">
        <f t="shared" si="39"/>
        <v>1800</v>
      </c>
      <c r="V38" s="21">
        <f t="shared" si="39"/>
        <v>778</v>
      </c>
      <c r="W38" s="21">
        <f t="shared" si="39"/>
        <v>169</v>
      </c>
      <c r="X38" s="21">
        <f t="shared" si="39"/>
        <v>180</v>
      </c>
      <c r="Y38" s="21">
        <f>SUM(Y39:Y41)</f>
        <v>0</v>
      </c>
      <c r="Z38" s="21">
        <f>T36-8884-U36</f>
        <v>0</v>
      </c>
      <c r="AA38" s="38">
        <f t="shared" si="13"/>
        <v>7009</v>
      </c>
      <c r="AB38" s="46">
        <v>6314</v>
      </c>
      <c r="AC38" s="47">
        <v>695</v>
      </c>
      <c r="AD38" s="38">
        <f t="shared" si="8"/>
        <v>0</v>
      </c>
    </row>
    <row r="39" spans="1:31" s="40" customFormat="1" ht="42" x14ac:dyDescent="0.2">
      <c r="A39" s="28"/>
      <c r="B39" s="34" t="s">
        <v>66</v>
      </c>
      <c r="C39" s="35" t="s">
        <v>61</v>
      </c>
      <c r="D39" s="35" t="s">
        <v>67</v>
      </c>
      <c r="E39" s="35" t="s">
        <v>68</v>
      </c>
      <c r="F39" s="35" t="s">
        <v>69</v>
      </c>
      <c r="G39" s="19">
        <v>7728</v>
      </c>
      <c r="H39" s="25">
        <v>6722</v>
      </c>
      <c r="I39" s="25">
        <v>1006</v>
      </c>
      <c r="J39" s="19">
        <v>7728</v>
      </c>
      <c r="K39" s="25">
        <v>6722</v>
      </c>
      <c r="L39" s="25">
        <v>672</v>
      </c>
      <c r="M39" s="25">
        <v>334</v>
      </c>
      <c r="N39" s="19">
        <f t="shared" ref="N39:N78" si="40">O39+P39</f>
        <v>3026</v>
      </c>
      <c r="O39" s="25">
        <v>2724</v>
      </c>
      <c r="P39" s="25">
        <v>302</v>
      </c>
      <c r="Q39" s="19"/>
      <c r="R39" s="19">
        <f>S39+V39+Y39</f>
        <v>3665</v>
      </c>
      <c r="S39" s="19">
        <f t="shared" ref="S39:S40" si="41">O39+T39-U39</f>
        <v>3224</v>
      </c>
      <c r="T39" s="25">
        <v>500</v>
      </c>
      <c r="U39" s="25"/>
      <c r="V39" s="19">
        <f t="shared" ref="V39:V40" si="42">P39+W39-X39</f>
        <v>441</v>
      </c>
      <c r="W39" s="25">
        <f>40+99</f>
        <v>139</v>
      </c>
      <c r="X39" s="25"/>
      <c r="Y39" s="25"/>
      <c r="Z39" s="25"/>
      <c r="AA39" s="38">
        <f>AB39+AC39</f>
        <v>3568</v>
      </c>
      <c r="AB39" s="40">
        <v>3224</v>
      </c>
      <c r="AC39" s="40">
        <v>344</v>
      </c>
      <c r="AD39" s="38">
        <f t="shared" si="8"/>
        <v>0</v>
      </c>
    </row>
    <row r="40" spans="1:31" s="40" customFormat="1" ht="31.5" x14ac:dyDescent="0.2">
      <c r="A40" s="28"/>
      <c r="B40" s="34" t="s">
        <v>70</v>
      </c>
      <c r="C40" s="35" t="s">
        <v>61</v>
      </c>
      <c r="D40" s="35" t="s">
        <v>71</v>
      </c>
      <c r="E40" s="35" t="s">
        <v>64</v>
      </c>
      <c r="F40" s="35" t="s">
        <v>69</v>
      </c>
      <c r="G40" s="19">
        <v>6876</v>
      </c>
      <c r="H40" s="25">
        <v>5979</v>
      </c>
      <c r="I40" s="25">
        <v>897</v>
      </c>
      <c r="J40" s="19">
        <v>6876</v>
      </c>
      <c r="K40" s="25">
        <v>5979</v>
      </c>
      <c r="L40" s="25">
        <v>598</v>
      </c>
      <c r="M40" s="25">
        <v>299</v>
      </c>
      <c r="N40" s="19">
        <f t="shared" si="40"/>
        <v>2897</v>
      </c>
      <c r="O40" s="25">
        <v>2590</v>
      </c>
      <c r="P40" s="25">
        <v>307</v>
      </c>
      <c r="Q40" s="19"/>
      <c r="R40" s="19">
        <f t="shared" ref="R40" si="43">S40+V40+Y40</f>
        <v>3327</v>
      </c>
      <c r="S40" s="19">
        <f t="shared" si="41"/>
        <v>2990</v>
      </c>
      <c r="T40" s="25">
        <v>400</v>
      </c>
      <c r="U40" s="25"/>
      <c r="V40" s="19">
        <f t="shared" si="42"/>
        <v>337</v>
      </c>
      <c r="W40" s="25">
        <v>30</v>
      </c>
      <c r="X40" s="25"/>
      <c r="Y40" s="25"/>
      <c r="Z40" s="25"/>
      <c r="AA40" s="38">
        <f t="shared" ref="AA40:AA80" si="44">AB40+AC40</f>
        <v>3441</v>
      </c>
      <c r="AB40" s="40">
        <v>3090</v>
      </c>
      <c r="AC40" s="40">
        <v>351</v>
      </c>
      <c r="AD40" s="38">
        <f t="shared" si="8"/>
        <v>0</v>
      </c>
    </row>
    <row r="41" spans="1:31" s="40" customFormat="1" ht="31.5" x14ac:dyDescent="0.2">
      <c r="A41" s="28"/>
      <c r="B41" s="34" t="s">
        <v>171</v>
      </c>
      <c r="C41" s="35" t="s">
        <v>61</v>
      </c>
      <c r="D41" s="35" t="s">
        <v>172</v>
      </c>
      <c r="E41" s="35" t="s">
        <v>173</v>
      </c>
      <c r="F41" s="35" t="s">
        <v>37</v>
      </c>
      <c r="G41" s="19">
        <f>H41+I41</f>
        <v>4600</v>
      </c>
      <c r="H41" s="25">
        <f>K41</f>
        <v>4000</v>
      </c>
      <c r="I41" s="25">
        <f>L41+M41</f>
        <v>600</v>
      </c>
      <c r="J41" s="19">
        <f>K41+L41+M41</f>
        <v>4600</v>
      </c>
      <c r="K41" s="25">
        <v>4000</v>
      </c>
      <c r="L41" s="25">
        <v>400</v>
      </c>
      <c r="M41" s="25">
        <v>200</v>
      </c>
      <c r="N41" s="19">
        <f t="shared" ref="N41" si="45">O41+P41</f>
        <v>1980</v>
      </c>
      <c r="O41" s="25">
        <v>1800</v>
      </c>
      <c r="P41" s="25">
        <v>180</v>
      </c>
      <c r="Q41" s="19"/>
      <c r="R41" s="19">
        <f t="shared" ref="R41" si="46">S41+V41+Y41</f>
        <v>0</v>
      </c>
      <c r="S41" s="19">
        <f t="shared" ref="S41" si="47">O41+T41-U41</f>
        <v>0</v>
      </c>
      <c r="T41" s="25"/>
      <c r="U41" s="25">
        <f>O41</f>
        <v>1800</v>
      </c>
      <c r="V41" s="25">
        <f t="shared" ref="V41" si="48">P41+W41-X41</f>
        <v>0</v>
      </c>
      <c r="W41" s="25"/>
      <c r="X41" s="25">
        <f>P41</f>
        <v>180</v>
      </c>
      <c r="Y41" s="25"/>
      <c r="Z41" s="27" t="s">
        <v>174</v>
      </c>
      <c r="AA41" s="38">
        <f t="shared" ref="AA41:AA44" si="49">AB41+AC41</f>
        <v>3441</v>
      </c>
      <c r="AB41" s="40">
        <v>3090</v>
      </c>
      <c r="AC41" s="40">
        <v>351</v>
      </c>
      <c r="AD41" s="38">
        <f t="shared" ref="AD41:AD44" si="50">AA41-AB41-AC41</f>
        <v>0</v>
      </c>
    </row>
    <row r="42" spans="1:31" s="47" customFormat="1" ht="11.25" x14ac:dyDescent="0.2">
      <c r="A42" s="37">
        <v>2</v>
      </c>
      <c r="B42" s="44" t="s">
        <v>175</v>
      </c>
      <c r="C42" s="44"/>
      <c r="D42" s="44"/>
      <c r="E42" s="45"/>
      <c r="F42" s="37"/>
      <c r="G42" s="21">
        <f t="shared" ref="G42:Y42" si="51">SUM(G43:G44)</f>
        <v>2041</v>
      </c>
      <c r="H42" s="21">
        <f t="shared" si="51"/>
        <v>1775</v>
      </c>
      <c r="I42" s="21">
        <f t="shared" si="51"/>
        <v>266</v>
      </c>
      <c r="J42" s="21">
        <f t="shared" si="51"/>
        <v>2041</v>
      </c>
      <c r="K42" s="21">
        <f t="shared" si="51"/>
        <v>1775</v>
      </c>
      <c r="L42" s="21">
        <f t="shared" si="51"/>
        <v>178</v>
      </c>
      <c r="M42" s="21">
        <f t="shared" si="51"/>
        <v>88</v>
      </c>
      <c r="N42" s="21">
        <f t="shared" si="51"/>
        <v>877</v>
      </c>
      <c r="O42" s="21">
        <f t="shared" si="51"/>
        <v>798</v>
      </c>
      <c r="P42" s="21">
        <f t="shared" si="51"/>
        <v>79</v>
      </c>
      <c r="Q42" s="21">
        <f t="shared" si="51"/>
        <v>0</v>
      </c>
      <c r="R42" s="21">
        <f t="shared" si="51"/>
        <v>0</v>
      </c>
      <c r="S42" s="21">
        <f t="shared" si="51"/>
        <v>0</v>
      </c>
      <c r="T42" s="21">
        <f t="shared" si="51"/>
        <v>0</v>
      </c>
      <c r="U42" s="21">
        <f t="shared" si="51"/>
        <v>798</v>
      </c>
      <c r="V42" s="21">
        <f t="shared" si="51"/>
        <v>0</v>
      </c>
      <c r="W42" s="21">
        <f t="shared" si="51"/>
        <v>0</v>
      </c>
      <c r="X42" s="21">
        <f t="shared" si="51"/>
        <v>79</v>
      </c>
      <c r="Y42" s="21">
        <f t="shared" si="51"/>
        <v>0</v>
      </c>
      <c r="Z42" s="21"/>
      <c r="AA42" s="38">
        <f t="shared" si="49"/>
        <v>7009</v>
      </c>
      <c r="AB42" s="46">
        <v>6314</v>
      </c>
      <c r="AC42" s="47">
        <v>695</v>
      </c>
      <c r="AD42" s="38">
        <f t="shared" si="50"/>
        <v>0</v>
      </c>
    </row>
    <row r="43" spans="1:31" s="40" customFormat="1" ht="21" x14ac:dyDescent="0.2">
      <c r="A43" s="28"/>
      <c r="B43" s="34" t="s">
        <v>176</v>
      </c>
      <c r="C43" s="35" t="s">
        <v>178</v>
      </c>
      <c r="D43" s="35" t="s">
        <v>179</v>
      </c>
      <c r="E43" s="35" t="s">
        <v>173</v>
      </c>
      <c r="F43" s="35" t="s">
        <v>37</v>
      </c>
      <c r="G43" s="19">
        <f t="shared" ref="G43:G44" si="52">H43+I43</f>
        <v>810</v>
      </c>
      <c r="H43" s="25">
        <f t="shared" ref="H43:H44" si="53">K43</f>
        <v>705</v>
      </c>
      <c r="I43" s="25">
        <f t="shared" ref="I43:I44" si="54">L43+M43</f>
        <v>105</v>
      </c>
      <c r="J43" s="19">
        <f t="shared" ref="J43:J44" si="55">K43+L43+M43</f>
        <v>810</v>
      </c>
      <c r="K43" s="25">
        <v>705</v>
      </c>
      <c r="L43" s="25">
        <v>71</v>
      </c>
      <c r="M43" s="25">
        <v>34</v>
      </c>
      <c r="N43" s="19">
        <f t="shared" ref="N43:N44" si="56">O43+P43</f>
        <v>348</v>
      </c>
      <c r="O43" s="25">
        <v>317</v>
      </c>
      <c r="P43" s="25">
        <v>31</v>
      </c>
      <c r="Q43" s="19"/>
      <c r="R43" s="19">
        <f t="shared" ref="R43:R44" si="57">S43+V43+Y43</f>
        <v>0</v>
      </c>
      <c r="S43" s="19">
        <f t="shared" ref="S43:S44" si="58">O43+T43-U43</f>
        <v>0</v>
      </c>
      <c r="T43" s="25"/>
      <c r="U43" s="25">
        <f t="shared" ref="U43:U44" si="59">O43</f>
        <v>317</v>
      </c>
      <c r="V43" s="25">
        <f t="shared" ref="V43:V44" si="60">P43+W43-X43</f>
        <v>0</v>
      </c>
      <c r="W43" s="25"/>
      <c r="X43" s="25">
        <f t="shared" ref="X43:X44" si="61">P43</f>
        <v>31</v>
      </c>
      <c r="Y43" s="25"/>
      <c r="Z43" s="27" t="s">
        <v>174</v>
      </c>
      <c r="AA43" s="38">
        <f t="shared" si="49"/>
        <v>3441</v>
      </c>
      <c r="AB43" s="40">
        <v>3090</v>
      </c>
      <c r="AC43" s="40">
        <v>351</v>
      </c>
      <c r="AD43" s="38">
        <f t="shared" si="50"/>
        <v>0</v>
      </c>
    </row>
    <row r="44" spans="1:31" s="40" customFormat="1" ht="31.5" x14ac:dyDescent="0.2">
      <c r="A44" s="28"/>
      <c r="B44" s="34" t="s">
        <v>177</v>
      </c>
      <c r="C44" s="35" t="s">
        <v>178</v>
      </c>
      <c r="D44" s="35" t="s">
        <v>180</v>
      </c>
      <c r="E44" s="35" t="s">
        <v>173</v>
      </c>
      <c r="F44" s="35" t="s">
        <v>37</v>
      </c>
      <c r="G44" s="19">
        <f t="shared" si="52"/>
        <v>1231</v>
      </c>
      <c r="H44" s="25">
        <f t="shared" si="53"/>
        <v>1070</v>
      </c>
      <c r="I44" s="25">
        <f t="shared" si="54"/>
        <v>161</v>
      </c>
      <c r="J44" s="19">
        <f t="shared" si="55"/>
        <v>1231</v>
      </c>
      <c r="K44" s="25">
        <v>1070</v>
      </c>
      <c r="L44" s="25">
        <v>107</v>
      </c>
      <c r="M44" s="25">
        <v>54</v>
      </c>
      <c r="N44" s="19">
        <f t="shared" si="56"/>
        <v>529</v>
      </c>
      <c r="O44" s="25">
        <v>481</v>
      </c>
      <c r="P44" s="25">
        <v>48</v>
      </c>
      <c r="Q44" s="19"/>
      <c r="R44" s="19">
        <f t="shared" si="57"/>
        <v>0</v>
      </c>
      <c r="S44" s="19">
        <f t="shared" si="58"/>
        <v>0</v>
      </c>
      <c r="T44" s="25"/>
      <c r="U44" s="25">
        <f t="shared" si="59"/>
        <v>481</v>
      </c>
      <c r="V44" s="25">
        <f t="shared" si="60"/>
        <v>0</v>
      </c>
      <c r="W44" s="25"/>
      <c r="X44" s="25">
        <f t="shared" si="61"/>
        <v>48</v>
      </c>
      <c r="Y44" s="25"/>
      <c r="Z44" s="27" t="s">
        <v>174</v>
      </c>
      <c r="AA44" s="38">
        <f t="shared" si="49"/>
        <v>3441</v>
      </c>
      <c r="AB44" s="40">
        <v>3090</v>
      </c>
      <c r="AC44" s="40">
        <v>351</v>
      </c>
      <c r="AD44" s="38">
        <f t="shared" si="50"/>
        <v>0</v>
      </c>
    </row>
    <row r="45" spans="1:31" s="47" customFormat="1" ht="11.25" x14ac:dyDescent="0.2">
      <c r="A45" s="37">
        <v>3</v>
      </c>
      <c r="B45" s="44" t="s">
        <v>94</v>
      </c>
      <c r="C45" s="44"/>
      <c r="D45" s="44"/>
      <c r="E45" s="45"/>
      <c r="F45" s="37"/>
      <c r="G45" s="21">
        <f>G46</f>
        <v>456</v>
      </c>
      <c r="H45" s="21">
        <f t="shared" ref="H45:Y45" si="62">H46</f>
        <v>396</v>
      </c>
      <c r="I45" s="21">
        <f t="shared" si="62"/>
        <v>60</v>
      </c>
      <c r="J45" s="21">
        <f t="shared" si="62"/>
        <v>456</v>
      </c>
      <c r="K45" s="21">
        <f t="shared" si="62"/>
        <v>396</v>
      </c>
      <c r="L45" s="21">
        <f t="shared" si="62"/>
        <v>39</v>
      </c>
      <c r="M45" s="21">
        <f t="shared" si="62"/>
        <v>21</v>
      </c>
      <c r="N45" s="21">
        <f t="shared" si="62"/>
        <v>195</v>
      </c>
      <c r="O45" s="21">
        <f t="shared" si="62"/>
        <v>178</v>
      </c>
      <c r="P45" s="21">
        <f t="shared" si="62"/>
        <v>17</v>
      </c>
      <c r="Q45" s="21">
        <f t="shared" si="62"/>
        <v>0</v>
      </c>
      <c r="R45" s="21">
        <f t="shared" si="62"/>
        <v>426</v>
      </c>
      <c r="S45" s="21">
        <f t="shared" si="62"/>
        <v>388</v>
      </c>
      <c r="T45" s="21">
        <f t="shared" si="62"/>
        <v>210</v>
      </c>
      <c r="U45" s="21">
        <f t="shared" si="62"/>
        <v>0</v>
      </c>
      <c r="V45" s="21">
        <f t="shared" si="62"/>
        <v>38</v>
      </c>
      <c r="W45" s="21">
        <f t="shared" si="62"/>
        <v>21</v>
      </c>
      <c r="X45" s="21">
        <f t="shared" si="62"/>
        <v>0</v>
      </c>
      <c r="Y45" s="21">
        <f t="shared" si="62"/>
        <v>0</v>
      </c>
      <c r="Z45" s="21"/>
      <c r="AA45" s="38">
        <f t="shared" si="44"/>
        <v>435</v>
      </c>
      <c r="AB45" s="46">
        <v>396</v>
      </c>
      <c r="AC45" s="47">
        <v>39</v>
      </c>
      <c r="AD45" s="38">
        <f t="shared" si="8"/>
        <v>0</v>
      </c>
    </row>
    <row r="46" spans="1:31" s="40" customFormat="1" ht="21" x14ac:dyDescent="0.2">
      <c r="A46" s="28"/>
      <c r="B46" s="34" t="s">
        <v>163</v>
      </c>
      <c r="C46" s="35" t="s">
        <v>34</v>
      </c>
      <c r="D46" s="35" t="s">
        <v>95</v>
      </c>
      <c r="E46" s="35" t="s">
        <v>36</v>
      </c>
      <c r="F46" s="35" t="s">
        <v>37</v>
      </c>
      <c r="G46" s="19">
        <f>H46+I46</f>
        <v>456</v>
      </c>
      <c r="H46" s="25">
        <v>396</v>
      </c>
      <c r="I46" s="25">
        <v>60</v>
      </c>
      <c r="J46" s="19">
        <f>K46+L46+M46</f>
        <v>456</v>
      </c>
      <c r="K46" s="25">
        <v>396</v>
      </c>
      <c r="L46" s="25">
        <v>39</v>
      </c>
      <c r="M46" s="25">
        <v>21</v>
      </c>
      <c r="N46" s="19">
        <f t="shared" si="40"/>
        <v>195</v>
      </c>
      <c r="O46" s="25">
        <v>178</v>
      </c>
      <c r="P46" s="25">
        <v>17</v>
      </c>
      <c r="Q46" s="19"/>
      <c r="R46" s="19">
        <f>S46+V46+Y46</f>
        <v>426</v>
      </c>
      <c r="S46" s="19">
        <f>O46+T46</f>
        <v>388</v>
      </c>
      <c r="T46" s="25">
        <v>210</v>
      </c>
      <c r="U46" s="25"/>
      <c r="V46" s="25">
        <f>W46+P46</f>
        <v>38</v>
      </c>
      <c r="W46" s="25">
        <v>21</v>
      </c>
      <c r="X46" s="25"/>
      <c r="Y46" s="25"/>
      <c r="Z46" s="25"/>
      <c r="AA46" s="38">
        <f t="shared" si="44"/>
        <v>435</v>
      </c>
      <c r="AB46" s="40">
        <v>396</v>
      </c>
      <c r="AC46" s="40">
        <v>39</v>
      </c>
      <c r="AD46" s="38">
        <f>AA46-AB46-AC46</f>
        <v>0</v>
      </c>
    </row>
    <row r="47" spans="1:31" s="47" customFormat="1" ht="11.25" x14ac:dyDescent="0.2">
      <c r="A47" s="37">
        <v>4</v>
      </c>
      <c r="B47" s="44" t="s">
        <v>96</v>
      </c>
      <c r="C47" s="44"/>
      <c r="D47" s="44"/>
      <c r="E47" s="45"/>
      <c r="F47" s="37"/>
      <c r="G47" s="21">
        <f>G48</f>
        <v>1137</v>
      </c>
      <c r="H47" s="21">
        <f t="shared" ref="H47:Y47" si="63">H48</f>
        <v>989</v>
      </c>
      <c r="I47" s="21">
        <f t="shared" si="63"/>
        <v>148</v>
      </c>
      <c r="J47" s="21">
        <f t="shared" si="63"/>
        <v>1137</v>
      </c>
      <c r="K47" s="21">
        <f t="shared" si="63"/>
        <v>989</v>
      </c>
      <c r="L47" s="21">
        <f t="shared" si="63"/>
        <v>99</v>
      </c>
      <c r="M47" s="21">
        <f t="shared" si="63"/>
        <v>49</v>
      </c>
      <c r="N47" s="21">
        <f t="shared" si="63"/>
        <v>489</v>
      </c>
      <c r="O47" s="21">
        <f t="shared" si="63"/>
        <v>445</v>
      </c>
      <c r="P47" s="21">
        <f t="shared" si="63"/>
        <v>44</v>
      </c>
      <c r="Q47" s="21">
        <f t="shared" si="63"/>
        <v>0</v>
      </c>
      <c r="R47" s="21">
        <f t="shared" si="63"/>
        <v>1088</v>
      </c>
      <c r="S47" s="21">
        <f t="shared" si="63"/>
        <v>989</v>
      </c>
      <c r="T47" s="21">
        <f t="shared" si="63"/>
        <v>544</v>
      </c>
      <c r="U47" s="21">
        <f t="shared" si="63"/>
        <v>0</v>
      </c>
      <c r="V47" s="21">
        <f t="shared" si="63"/>
        <v>99</v>
      </c>
      <c r="W47" s="21">
        <f t="shared" si="63"/>
        <v>55</v>
      </c>
      <c r="X47" s="21">
        <f t="shared" si="63"/>
        <v>0</v>
      </c>
      <c r="Y47" s="21">
        <f t="shared" si="63"/>
        <v>0</v>
      </c>
      <c r="Z47" s="21"/>
      <c r="AA47" s="38">
        <f t="shared" si="44"/>
        <v>1088</v>
      </c>
      <c r="AB47" s="46">
        <v>989</v>
      </c>
      <c r="AC47" s="47">
        <v>99</v>
      </c>
      <c r="AD47" s="38">
        <f t="shared" si="8"/>
        <v>0</v>
      </c>
    </row>
    <row r="48" spans="1:31" s="40" customFormat="1" ht="21" x14ac:dyDescent="0.2">
      <c r="A48" s="28"/>
      <c r="B48" s="34" t="s">
        <v>181</v>
      </c>
      <c r="C48" s="35" t="s">
        <v>97</v>
      </c>
      <c r="D48" s="35" t="s">
        <v>98</v>
      </c>
      <c r="E48" s="35" t="s">
        <v>99</v>
      </c>
      <c r="F48" s="35"/>
      <c r="G48" s="19">
        <f>SUM(H48:I48)</f>
        <v>1137</v>
      </c>
      <c r="H48" s="25">
        <v>989</v>
      </c>
      <c r="I48" s="25">
        <v>148</v>
      </c>
      <c r="J48" s="19">
        <f>SUM(K48:M48)</f>
        <v>1137</v>
      </c>
      <c r="K48" s="25">
        <v>989</v>
      </c>
      <c r="L48" s="25">
        <v>99</v>
      </c>
      <c r="M48" s="25">
        <v>49</v>
      </c>
      <c r="N48" s="19">
        <f t="shared" si="40"/>
        <v>489</v>
      </c>
      <c r="O48" s="25">
        <v>445</v>
      </c>
      <c r="P48" s="25">
        <v>44</v>
      </c>
      <c r="Q48" s="19"/>
      <c r="R48" s="19">
        <f>S48+V48+Y48</f>
        <v>1088</v>
      </c>
      <c r="S48" s="19">
        <f>O48+T48</f>
        <v>989</v>
      </c>
      <c r="T48" s="25">
        <f>K48-O48</f>
        <v>544</v>
      </c>
      <c r="U48" s="25"/>
      <c r="V48" s="25">
        <f>P48+W48</f>
        <v>99</v>
      </c>
      <c r="W48" s="25">
        <f>L48-P48</f>
        <v>55</v>
      </c>
      <c r="X48" s="25"/>
      <c r="Y48" s="25"/>
      <c r="Z48" s="25"/>
      <c r="AA48" s="38">
        <f t="shared" si="44"/>
        <v>1088</v>
      </c>
      <c r="AB48" s="40">
        <v>989</v>
      </c>
      <c r="AC48" s="40">
        <v>99</v>
      </c>
      <c r="AD48" s="38">
        <f t="shared" si="8"/>
        <v>0</v>
      </c>
    </row>
    <row r="49" spans="1:30" s="47" customFormat="1" ht="11.25" x14ac:dyDescent="0.2">
      <c r="A49" s="37">
        <v>5</v>
      </c>
      <c r="B49" s="44" t="s">
        <v>39</v>
      </c>
      <c r="C49" s="44"/>
      <c r="D49" s="44"/>
      <c r="E49" s="45"/>
      <c r="F49" s="37"/>
      <c r="G49" s="21">
        <f>SUM(G50:G53)</f>
        <v>2612</v>
      </c>
      <c r="H49" s="21">
        <f t="shared" ref="H49:Y49" si="64">SUM(H50:H53)</f>
        <v>2269</v>
      </c>
      <c r="I49" s="21">
        <f t="shared" si="64"/>
        <v>343</v>
      </c>
      <c r="J49" s="21">
        <f t="shared" si="64"/>
        <v>2612</v>
      </c>
      <c r="K49" s="21">
        <f t="shared" si="64"/>
        <v>2269</v>
      </c>
      <c r="L49" s="21">
        <f t="shared" si="64"/>
        <v>227</v>
      </c>
      <c r="M49" s="21">
        <f t="shared" si="64"/>
        <v>116</v>
      </c>
      <c r="N49" s="21">
        <f t="shared" si="64"/>
        <v>1120</v>
      </c>
      <c r="O49" s="21">
        <f t="shared" si="64"/>
        <v>1020</v>
      </c>
      <c r="P49" s="21">
        <f t="shared" si="64"/>
        <v>100</v>
      </c>
      <c r="Q49" s="21">
        <f t="shared" si="64"/>
        <v>0</v>
      </c>
      <c r="R49" s="21">
        <f t="shared" si="64"/>
        <v>2461</v>
      </c>
      <c r="S49" s="21">
        <f t="shared" si="64"/>
        <v>2250</v>
      </c>
      <c r="T49" s="21">
        <f t="shared" si="64"/>
        <v>1230</v>
      </c>
      <c r="U49" s="21">
        <f t="shared" si="64"/>
        <v>0</v>
      </c>
      <c r="V49" s="21">
        <f t="shared" si="64"/>
        <v>211</v>
      </c>
      <c r="W49" s="21">
        <f t="shared" si="64"/>
        <v>111</v>
      </c>
      <c r="X49" s="21">
        <f t="shared" si="64"/>
        <v>0</v>
      </c>
      <c r="Y49" s="21">
        <f t="shared" si="64"/>
        <v>0</v>
      </c>
      <c r="Z49" s="21"/>
      <c r="AA49" s="38">
        <f t="shared" si="44"/>
        <v>2496</v>
      </c>
      <c r="AB49" s="46">
        <v>2269</v>
      </c>
      <c r="AC49" s="47">
        <v>227</v>
      </c>
      <c r="AD49" s="38">
        <f t="shared" si="8"/>
        <v>0</v>
      </c>
    </row>
    <row r="50" spans="1:30" s="40" customFormat="1" ht="21" x14ac:dyDescent="0.2">
      <c r="A50" s="28"/>
      <c r="B50" s="34" t="s">
        <v>109</v>
      </c>
      <c r="C50" s="35" t="s">
        <v>38</v>
      </c>
      <c r="D50" s="35" t="s">
        <v>110</v>
      </c>
      <c r="E50" s="35" t="s">
        <v>111</v>
      </c>
      <c r="F50" s="35" t="s">
        <v>105</v>
      </c>
      <c r="G50" s="19">
        <f>H50+I50</f>
        <v>587</v>
      </c>
      <c r="H50" s="25">
        <v>510</v>
      </c>
      <c r="I50" s="25">
        <f>77</f>
        <v>77</v>
      </c>
      <c r="J50" s="19">
        <f>K50+L50+M50</f>
        <v>587</v>
      </c>
      <c r="K50" s="25">
        <v>510</v>
      </c>
      <c r="L50" s="25">
        <v>51</v>
      </c>
      <c r="M50" s="25">
        <v>26</v>
      </c>
      <c r="N50" s="19">
        <f t="shared" si="40"/>
        <v>251</v>
      </c>
      <c r="O50" s="25">
        <v>229</v>
      </c>
      <c r="P50" s="25">
        <v>22</v>
      </c>
      <c r="Q50" s="19"/>
      <c r="R50" s="19">
        <f>S50+V50+Y50</f>
        <v>559</v>
      </c>
      <c r="S50" s="19">
        <f>O50+T50</f>
        <v>509</v>
      </c>
      <c r="T50" s="25">
        <v>280</v>
      </c>
      <c r="U50" s="25"/>
      <c r="V50" s="19">
        <f>P50+W50</f>
        <v>50</v>
      </c>
      <c r="W50" s="25">
        <v>28</v>
      </c>
      <c r="X50" s="25"/>
      <c r="Y50" s="25"/>
      <c r="Z50" s="25"/>
      <c r="AA50" s="38">
        <f t="shared" si="44"/>
        <v>561</v>
      </c>
      <c r="AB50" s="40">
        <v>510</v>
      </c>
      <c r="AC50" s="40">
        <v>51</v>
      </c>
      <c r="AD50" s="38">
        <f t="shared" si="8"/>
        <v>0</v>
      </c>
    </row>
    <row r="51" spans="1:30" s="40" customFormat="1" ht="31.5" x14ac:dyDescent="0.2">
      <c r="A51" s="28"/>
      <c r="B51" s="34" t="s">
        <v>112</v>
      </c>
      <c r="C51" s="35" t="s">
        <v>38</v>
      </c>
      <c r="D51" s="35" t="s">
        <v>113</v>
      </c>
      <c r="E51" s="35" t="s">
        <v>114</v>
      </c>
      <c r="F51" s="35" t="s">
        <v>105</v>
      </c>
      <c r="G51" s="19">
        <f t="shared" ref="G51:G53" si="65">H51+I51</f>
        <v>488</v>
      </c>
      <c r="H51" s="25">
        <v>425</v>
      </c>
      <c r="I51" s="25">
        <v>63</v>
      </c>
      <c r="J51" s="19">
        <f t="shared" ref="J51:J53" si="66">K51+L51+M51</f>
        <v>488</v>
      </c>
      <c r="K51" s="25">
        <v>425</v>
      </c>
      <c r="L51" s="25">
        <v>42</v>
      </c>
      <c r="M51" s="25">
        <v>21</v>
      </c>
      <c r="N51" s="19">
        <f t="shared" si="40"/>
        <v>209</v>
      </c>
      <c r="O51" s="25">
        <v>191</v>
      </c>
      <c r="P51" s="25">
        <v>18</v>
      </c>
      <c r="Q51" s="19"/>
      <c r="R51" s="19">
        <f t="shared" ref="R51:R53" si="67">S51+V51+Y51</f>
        <v>462</v>
      </c>
      <c r="S51" s="19">
        <f t="shared" ref="S51:S53" si="68">O51+T51</f>
        <v>421</v>
      </c>
      <c r="T51" s="25">
        <v>230</v>
      </c>
      <c r="U51" s="25"/>
      <c r="V51" s="19">
        <f t="shared" ref="V51:V53" si="69">P51+W51</f>
        <v>41</v>
      </c>
      <c r="W51" s="25">
        <v>23</v>
      </c>
      <c r="X51" s="25"/>
      <c r="Y51" s="25"/>
      <c r="Z51" s="25"/>
      <c r="AA51" s="38">
        <f t="shared" si="44"/>
        <v>467</v>
      </c>
      <c r="AB51" s="40">
        <v>425</v>
      </c>
      <c r="AC51" s="40">
        <v>42</v>
      </c>
      <c r="AD51" s="38">
        <f t="shared" si="8"/>
        <v>0</v>
      </c>
    </row>
    <row r="52" spans="1:30" s="40" customFormat="1" ht="31.5" x14ac:dyDescent="0.2">
      <c r="A52" s="28"/>
      <c r="B52" s="34" t="s">
        <v>115</v>
      </c>
      <c r="C52" s="35" t="s">
        <v>38</v>
      </c>
      <c r="D52" s="35" t="s">
        <v>116</v>
      </c>
      <c r="E52" s="35" t="s">
        <v>114</v>
      </c>
      <c r="F52" s="35" t="s">
        <v>37</v>
      </c>
      <c r="G52" s="19">
        <f t="shared" si="65"/>
        <v>1089</v>
      </c>
      <c r="H52" s="25">
        <v>946</v>
      </c>
      <c r="I52" s="25">
        <f>94+49</f>
        <v>143</v>
      </c>
      <c r="J52" s="19">
        <f t="shared" si="66"/>
        <v>1089</v>
      </c>
      <c r="K52" s="25">
        <v>946</v>
      </c>
      <c r="L52" s="25">
        <v>94</v>
      </c>
      <c r="M52" s="25">
        <v>49</v>
      </c>
      <c r="N52" s="19">
        <f t="shared" si="40"/>
        <v>462</v>
      </c>
      <c r="O52" s="25">
        <v>420</v>
      </c>
      <c r="P52" s="25">
        <v>42</v>
      </c>
      <c r="Q52" s="19"/>
      <c r="R52" s="19">
        <f t="shared" si="67"/>
        <v>1022</v>
      </c>
      <c r="S52" s="19">
        <f t="shared" si="68"/>
        <v>940</v>
      </c>
      <c r="T52" s="25">
        <v>520</v>
      </c>
      <c r="U52" s="25"/>
      <c r="V52" s="19">
        <f t="shared" si="69"/>
        <v>82</v>
      </c>
      <c r="W52" s="25">
        <v>40</v>
      </c>
      <c r="X52" s="25"/>
      <c r="Y52" s="25"/>
      <c r="Z52" s="25"/>
      <c r="AA52" s="38">
        <f t="shared" si="44"/>
        <v>1040</v>
      </c>
      <c r="AB52" s="40">
        <v>946</v>
      </c>
      <c r="AC52" s="40">
        <v>94</v>
      </c>
      <c r="AD52" s="38">
        <f t="shared" si="8"/>
        <v>0</v>
      </c>
    </row>
    <row r="53" spans="1:30" s="40" customFormat="1" ht="42" x14ac:dyDescent="0.2">
      <c r="A53" s="28"/>
      <c r="B53" s="34" t="s">
        <v>117</v>
      </c>
      <c r="C53" s="35" t="s">
        <v>38</v>
      </c>
      <c r="D53" s="35" t="s">
        <v>118</v>
      </c>
      <c r="E53" s="35" t="s">
        <v>119</v>
      </c>
      <c r="F53" s="35" t="s">
        <v>37</v>
      </c>
      <c r="G53" s="19">
        <f t="shared" si="65"/>
        <v>448</v>
      </c>
      <c r="H53" s="25">
        <v>388</v>
      </c>
      <c r="I53" s="25">
        <f>20+40</f>
        <v>60</v>
      </c>
      <c r="J53" s="19">
        <f t="shared" si="66"/>
        <v>448</v>
      </c>
      <c r="K53" s="25">
        <v>388</v>
      </c>
      <c r="L53" s="25">
        <v>40</v>
      </c>
      <c r="M53" s="25">
        <v>20</v>
      </c>
      <c r="N53" s="19">
        <f t="shared" si="40"/>
        <v>198</v>
      </c>
      <c r="O53" s="25">
        <v>180</v>
      </c>
      <c r="P53" s="25">
        <v>18</v>
      </c>
      <c r="Q53" s="19"/>
      <c r="R53" s="19">
        <f t="shared" si="67"/>
        <v>418</v>
      </c>
      <c r="S53" s="19">
        <f t="shared" si="68"/>
        <v>380</v>
      </c>
      <c r="T53" s="25">
        <v>200</v>
      </c>
      <c r="U53" s="25"/>
      <c r="V53" s="19">
        <f t="shared" si="69"/>
        <v>38</v>
      </c>
      <c r="W53" s="25">
        <v>20</v>
      </c>
      <c r="X53" s="25"/>
      <c r="Y53" s="25"/>
      <c r="Z53" s="25"/>
      <c r="AA53" s="38">
        <f t="shared" si="44"/>
        <v>428</v>
      </c>
      <c r="AB53" s="40">
        <v>388</v>
      </c>
      <c r="AC53" s="40">
        <v>40</v>
      </c>
      <c r="AD53" s="38">
        <f t="shared" si="8"/>
        <v>0</v>
      </c>
    </row>
    <row r="54" spans="1:30" s="47" customFormat="1" ht="11.25" x14ac:dyDescent="0.2">
      <c r="A54" s="37">
        <v>6</v>
      </c>
      <c r="B54" s="44" t="s">
        <v>122</v>
      </c>
      <c r="C54" s="44"/>
      <c r="D54" s="44"/>
      <c r="E54" s="45"/>
      <c r="F54" s="37"/>
      <c r="G54" s="21">
        <f>SUM(G55:G57)</f>
        <v>5802</v>
      </c>
      <c r="H54" s="21">
        <f t="shared" ref="H54:Y54" si="70">SUM(H55:H57)</f>
        <v>5045</v>
      </c>
      <c r="I54" s="21">
        <f t="shared" si="70"/>
        <v>757</v>
      </c>
      <c r="J54" s="21">
        <f t="shared" si="70"/>
        <v>5802</v>
      </c>
      <c r="K54" s="21">
        <f t="shared" si="70"/>
        <v>5045</v>
      </c>
      <c r="L54" s="21">
        <f t="shared" si="70"/>
        <v>504</v>
      </c>
      <c r="M54" s="21">
        <f t="shared" si="70"/>
        <v>253</v>
      </c>
      <c r="N54" s="21">
        <f t="shared" si="70"/>
        <v>2493</v>
      </c>
      <c r="O54" s="21">
        <f t="shared" si="70"/>
        <v>2269</v>
      </c>
      <c r="P54" s="21">
        <f t="shared" si="70"/>
        <v>224</v>
      </c>
      <c r="Q54" s="21">
        <f t="shared" si="70"/>
        <v>0</v>
      </c>
      <c r="R54" s="21">
        <f t="shared" si="70"/>
        <v>5350</v>
      </c>
      <c r="S54" s="21">
        <f t="shared" si="70"/>
        <v>4867</v>
      </c>
      <c r="T54" s="21">
        <f t="shared" si="70"/>
        <v>2598</v>
      </c>
      <c r="U54" s="21">
        <f t="shared" si="70"/>
        <v>0</v>
      </c>
      <c r="V54" s="21">
        <f t="shared" si="70"/>
        <v>483</v>
      </c>
      <c r="W54" s="21">
        <f t="shared" si="70"/>
        <v>259</v>
      </c>
      <c r="X54" s="21">
        <f t="shared" si="70"/>
        <v>0</v>
      </c>
      <c r="Y54" s="21">
        <f t="shared" si="70"/>
        <v>0</v>
      </c>
      <c r="Z54" s="21"/>
      <c r="AA54" s="38">
        <f t="shared" si="44"/>
        <v>5350</v>
      </c>
      <c r="AB54" s="46">
        <v>4867</v>
      </c>
      <c r="AC54" s="47">
        <v>483</v>
      </c>
      <c r="AD54" s="38">
        <f t="shared" si="8"/>
        <v>0</v>
      </c>
    </row>
    <row r="55" spans="1:30" s="40" customFormat="1" ht="31.5" x14ac:dyDescent="0.2">
      <c r="A55" s="28"/>
      <c r="B55" s="34" t="s">
        <v>123</v>
      </c>
      <c r="C55" s="35" t="s">
        <v>49</v>
      </c>
      <c r="D55" s="35" t="s">
        <v>124</v>
      </c>
      <c r="E55" s="35" t="s">
        <v>51</v>
      </c>
      <c r="F55" s="35" t="s">
        <v>37</v>
      </c>
      <c r="G55" s="19">
        <f>H55+I55</f>
        <v>2657</v>
      </c>
      <c r="H55" s="25">
        <v>2310</v>
      </c>
      <c r="I55" s="25">
        <v>347</v>
      </c>
      <c r="J55" s="19">
        <f>K55+L55+M55</f>
        <v>2657</v>
      </c>
      <c r="K55" s="25">
        <v>2310</v>
      </c>
      <c r="L55" s="25">
        <v>231</v>
      </c>
      <c r="M55" s="25">
        <v>116</v>
      </c>
      <c r="N55" s="19">
        <f t="shared" si="40"/>
        <v>1142</v>
      </c>
      <c r="O55" s="25">
        <v>1039</v>
      </c>
      <c r="P55" s="25">
        <v>103</v>
      </c>
      <c r="Q55" s="19"/>
      <c r="R55" s="19">
        <f>S55+V55+Y55</f>
        <v>2370</v>
      </c>
      <c r="S55" s="19">
        <f>O55+T55</f>
        <v>2156</v>
      </c>
      <c r="T55" s="25">
        <v>1117</v>
      </c>
      <c r="U55" s="25"/>
      <c r="V55" s="25">
        <f>P55+W55</f>
        <v>214</v>
      </c>
      <c r="W55" s="25">
        <v>111</v>
      </c>
      <c r="X55" s="25"/>
      <c r="Y55" s="25"/>
      <c r="Z55" s="25"/>
      <c r="AA55" s="38">
        <f t="shared" si="44"/>
        <v>2370</v>
      </c>
      <c r="AB55" s="40">
        <v>2156</v>
      </c>
      <c r="AC55" s="40">
        <v>214</v>
      </c>
      <c r="AD55" s="38">
        <f t="shared" si="8"/>
        <v>0</v>
      </c>
    </row>
    <row r="56" spans="1:30" s="40" customFormat="1" ht="21" x14ac:dyDescent="0.2">
      <c r="A56" s="28"/>
      <c r="B56" s="34" t="s">
        <v>120</v>
      </c>
      <c r="C56" s="35" t="s">
        <v>49</v>
      </c>
      <c r="D56" s="35" t="s">
        <v>125</v>
      </c>
      <c r="E56" s="35" t="s">
        <v>51</v>
      </c>
      <c r="F56" s="35" t="s">
        <v>37</v>
      </c>
      <c r="G56" s="19">
        <f>H56+I56</f>
        <v>2558</v>
      </c>
      <c r="H56" s="25">
        <v>2225</v>
      </c>
      <c r="I56" s="25">
        <v>333</v>
      </c>
      <c r="J56" s="19">
        <f t="shared" ref="J56:J57" si="71">K56+L56+M56</f>
        <v>2558</v>
      </c>
      <c r="K56" s="25">
        <v>2225</v>
      </c>
      <c r="L56" s="25">
        <v>222</v>
      </c>
      <c r="M56" s="25">
        <v>111</v>
      </c>
      <c r="N56" s="19">
        <f t="shared" si="40"/>
        <v>1100</v>
      </c>
      <c r="O56" s="25">
        <v>1001</v>
      </c>
      <c r="P56" s="25">
        <v>99</v>
      </c>
      <c r="Q56" s="19"/>
      <c r="R56" s="19">
        <f t="shared" ref="R56:R61" si="72">S56+V56+Y56</f>
        <v>2420</v>
      </c>
      <c r="S56" s="19">
        <f>O56+T56</f>
        <v>2201</v>
      </c>
      <c r="T56" s="25">
        <v>1200</v>
      </c>
      <c r="U56" s="25"/>
      <c r="V56" s="25">
        <f t="shared" ref="V56:V78" si="73">P56+W56</f>
        <v>219</v>
      </c>
      <c r="W56" s="25">
        <v>120</v>
      </c>
      <c r="X56" s="25"/>
      <c r="Y56" s="25"/>
      <c r="Z56" s="25"/>
      <c r="AA56" s="38">
        <f t="shared" si="44"/>
        <v>2420</v>
      </c>
      <c r="AB56" s="40">
        <v>2201</v>
      </c>
      <c r="AC56" s="40">
        <v>219</v>
      </c>
      <c r="AD56" s="38">
        <f t="shared" si="8"/>
        <v>0</v>
      </c>
    </row>
    <row r="57" spans="1:30" s="40" customFormat="1" ht="21" x14ac:dyDescent="0.2">
      <c r="A57" s="28"/>
      <c r="B57" s="34" t="s">
        <v>121</v>
      </c>
      <c r="C57" s="35" t="s">
        <v>49</v>
      </c>
      <c r="D57" s="35" t="s">
        <v>126</v>
      </c>
      <c r="E57" s="35" t="s">
        <v>51</v>
      </c>
      <c r="F57" s="35" t="s">
        <v>37</v>
      </c>
      <c r="G57" s="19">
        <f t="shared" ref="G57" si="74">H57+I57</f>
        <v>587</v>
      </c>
      <c r="H57" s="25">
        <v>510</v>
      </c>
      <c r="I57" s="25">
        <v>77</v>
      </c>
      <c r="J57" s="19">
        <f t="shared" si="71"/>
        <v>587</v>
      </c>
      <c r="K57" s="25">
        <v>510</v>
      </c>
      <c r="L57" s="25">
        <v>51</v>
      </c>
      <c r="M57" s="25">
        <v>26</v>
      </c>
      <c r="N57" s="19">
        <f t="shared" si="40"/>
        <v>251</v>
      </c>
      <c r="O57" s="25">
        <v>229</v>
      </c>
      <c r="P57" s="25">
        <v>22</v>
      </c>
      <c r="Q57" s="19"/>
      <c r="R57" s="19">
        <f t="shared" si="72"/>
        <v>560</v>
      </c>
      <c r="S57" s="19">
        <f>O57+T57</f>
        <v>510</v>
      </c>
      <c r="T57" s="25">
        <f t="shared" ref="T57" si="75">K57-O57</f>
        <v>281</v>
      </c>
      <c r="U57" s="25"/>
      <c r="V57" s="25">
        <f t="shared" si="73"/>
        <v>50</v>
      </c>
      <c r="W57" s="25">
        <v>28</v>
      </c>
      <c r="X57" s="25"/>
      <c r="Y57" s="25"/>
      <c r="Z57" s="25"/>
      <c r="AA57" s="38">
        <f t="shared" si="44"/>
        <v>560</v>
      </c>
      <c r="AB57" s="40">
        <v>510</v>
      </c>
      <c r="AC57" s="40">
        <v>50</v>
      </c>
      <c r="AD57" s="38">
        <f t="shared" si="8"/>
        <v>0</v>
      </c>
    </row>
    <row r="58" spans="1:30" s="47" customFormat="1" ht="11.25" x14ac:dyDescent="0.2">
      <c r="A58" s="37">
        <v>7</v>
      </c>
      <c r="B58" s="44" t="s">
        <v>130</v>
      </c>
      <c r="C58" s="44"/>
      <c r="D58" s="44"/>
      <c r="E58" s="45"/>
      <c r="F58" s="37"/>
      <c r="G58" s="21">
        <f>G59+G60+G61</f>
        <v>2810</v>
      </c>
      <c r="H58" s="21">
        <f t="shared" ref="H58:Y58" si="76">H59+H60+H61</f>
        <v>2444</v>
      </c>
      <c r="I58" s="21">
        <f t="shared" si="76"/>
        <v>366</v>
      </c>
      <c r="J58" s="21">
        <f t="shared" si="76"/>
        <v>2810</v>
      </c>
      <c r="K58" s="21">
        <f t="shared" si="76"/>
        <v>2444</v>
      </c>
      <c r="L58" s="21">
        <f t="shared" si="76"/>
        <v>245</v>
      </c>
      <c r="M58" s="21">
        <f t="shared" si="76"/>
        <v>121</v>
      </c>
      <c r="N58" s="21">
        <f t="shared" si="76"/>
        <v>1208</v>
      </c>
      <c r="O58" s="21">
        <f t="shared" si="76"/>
        <v>1099</v>
      </c>
      <c r="P58" s="21">
        <f t="shared" si="76"/>
        <v>109</v>
      </c>
      <c r="Q58" s="21">
        <f t="shared" si="76"/>
        <v>0</v>
      </c>
      <c r="R58" s="21">
        <f t="shared" si="76"/>
        <v>2535</v>
      </c>
      <c r="S58" s="21">
        <f t="shared" si="76"/>
        <v>2316</v>
      </c>
      <c r="T58" s="21">
        <f t="shared" si="76"/>
        <v>1217</v>
      </c>
      <c r="U58" s="21">
        <f t="shared" si="76"/>
        <v>0</v>
      </c>
      <c r="V58" s="21">
        <f t="shared" si="76"/>
        <v>219</v>
      </c>
      <c r="W58" s="21">
        <f t="shared" si="76"/>
        <v>110</v>
      </c>
      <c r="X58" s="21">
        <f t="shared" si="76"/>
        <v>0</v>
      </c>
      <c r="Y58" s="21">
        <f t="shared" si="76"/>
        <v>0</v>
      </c>
      <c r="Z58" s="21"/>
      <c r="AA58" s="38">
        <f t="shared" si="44"/>
        <v>2204</v>
      </c>
      <c r="AB58" s="46">
        <v>2005</v>
      </c>
      <c r="AC58" s="47">
        <v>199</v>
      </c>
      <c r="AD58" s="38">
        <f t="shared" si="8"/>
        <v>0</v>
      </c>
    </row>
    <row r="59" spans="1:30" s="40" customFormat="1" ht="21" x14ac:dyDescent="0.2">
      <c r="A59" s="28"/>
      <c r="B59" s="34" t="s">
        <v>128</v>
      </c>
      <c r="C59" s="35" t="s">
        <v>131</v>
      </c>
      <c r="D59" s="35" t="s">
        <v>133</v>
      </c>
      <c r="E59" s="35" t="s">
        <v>63</v>
      </c>
      <c r="F59" s="35"/>
      <c r="G59" s="19">
        <v>1272</v>
      </c>
      <c r="H59" s="25">
        <v>1105</v>
      </c>
      <c r="I59" s="25">
        <v>167</v>
      </c>
      <c r="J59" s="19">
        <f>K59+L59+M59</f>
        <v>1272</v>
      </c>
      <c r="K59" s="25">
        <v>1105</v>
      </c>
      <c r="L59" s="25">
        <v>111</v>
      </c>
      <c r="M59" s="25">
        <v>56</v>
      </c>
      <c r="N59" s="19">
        <f t="shared" si="40"/>
        <v>546</v>
      </c>
      <c r="O59" s="25">
        <v>497</v>
      </c>
      <c r="P59" s="25">
        <v>49</v>
      </c>
      <c r="Q59" s="19"/>
      <c r="R59" s="19">
        <f t="shared" si="72"/>
        <v>1111</v>
      </c>
      <c r="S59" s="19">
        <f>O59+T59</f>
        <v>1017</v>
      </c>
      <c r="T59" s="25">
        <v>520</v>
      </c>
      <c r="U59" s="25"/>
      <c r="V59" s="19">
        <f t="shared" si="73"/>
        <v>94</v>
      </c>
      <c r="W59" s="25">
        <v>45</v>
      </c>
      <c r="X59" s="25"/>
      <c r="Y59" s="25"/>
      <c r="Z59" s="25"/>
      <c r="AA59" s="38">
        <f t="shared" si="44"/>
        <v>1111</v>
      </c>
      <c r="AB59" s="40">
        <v>1017</v>
      </c>
      <c r="AC59" s="40">
        <v>94</v>
      </c>
      <c r="AD59" s="38">
        <f t="shared" si="8"/>
        <v>0</v>
      </c>
    </row>
    <row r="60" spans="1:30" s="40" customFormat="1" ht="21" x14ac:dyDescent="0.2">
      <c r="A60" s="28"/>
      <c r="B60" s="34" t="s">
        <v>129</v>
      </c>
      <c r="C60" s="35" t="s">
        <v>131</v>
      </c>
      <c r="D60" s="35" t="s">
        <v>134</v>
      </c>
      <c r="E60" s="35" t="s">
        <v>63</v>
      </c>
      <c r="F60" s="35"/>
      <c r="G60" s="19">
        <f>H60+I60</f>
        <v>618</v>
      </c>
      <c r="H60" s="25">
        <v>539</v>
      </c>
      <c r="I60" s="25">
        <v>79</v>
      </c>
      <c r="J60" s="19">
        <f>K60+L60+M60</f>
        <v>618</v>
      </c>
      <c r="K60" s="25">
        <v>539</v>
      </c>
      <c r="L60" s="25">
        <v>54</v>
      </c>
      <c r="M60" s="25">
        <v>25</v>
      </c>
      <c r="N60" s="19">
        <f t="shared" si="40"/>
        <v>266</v>
      </c>
      <c r="O60" s="25">
        <v>242</v>
      </c>
      <c r="P60" s="25">
        <v>24</v>
      </c>
      <c r="Q60" s="19"/>
      <c r="R60" s="19">
        <f t="shared" si="72"/>
        <v>588</v>
      </c>
      <c r="S60" s="19">
        <f t="shared" ref="S60:S61" si="77">O60+T60</f>
        <v>539</v>
      </c>
      <c r="T60" s="25">
        <f>539-242</f>
        <v>297</v>
      </c>
      <c r="U60" s="25"/>
      <c r="V60" s="19">
        <f t="shared" si="73"/>
        <v>49</v>
      </c>
      <c r="W60" s="25">
        <v>25</v>
      </c>
      <c r="X60" s="25"/>
      <c r="Y60" s="25"/>
      <c r="Z60" s="25"/>
      <c r="AA60" s="38">
        <f t="shared" si="44"/>
        <v>588</v>
      </c>
      <c r="AB60" s="40">
        <v>539</v>
      </c>
      <c r="AC60" s="40">
        <v>49</v>
      </c>
      <c r="AD60" s="38">
        <f t="shared" si="8"/>
        <v>0</v>
      </c>
    </row>
    <row r="61" spans="1:30" s="40" customFormat="1" ht="21" x14ac:dyDescent="0.2">
      <c r="A61" s="28"/>
      <c r="B61" s="34" t="s">
        <v>127</v>
      </c>
      <c r="C61" s="35" t="s">
        <v>131</v>
      </c>
      <c r="D61" s="35" t="s">
        <v>132</v>
      </c>
      <c r="E61" s="35" t="s">
        <v>63</v>
      </c>
      <c r="F61" s="35"/>
      <c r="G61" s="19">
        <v>920</v>
      </c>
      <c r="H61" s="25">
        <v>800</v>
      </c>
      <c r="I61" s="25">
        <v>120</v>
      </c>
      <c r="J61" s="19">
        <v>920</v>
      </c>
      <c r="K61" s="25">
        <v>800</v>
      </c>
      <c r="L61" s="25">
        <v>80</v>
      </c>
      <c r="M61" s="25">
        <v>40</v>
      </c>
      <c r="N61" s="19">
        <f t="shared" si="40"/>
        <v>396</v>
      </c>
      <c r="O61" s="25">
        <v>360</v>
      </c>
      <c r="P61" s="25">
        <v>36</v>
      </c>
      <c r="Q61" s="19"/>
      <c r="R61" s="19">
        <f t="shared" si="72"/>
        <v>836</v>
      </c>
      <c r="S61" s="19">
        <f t="shared" si="77"/>
        <v>760</v>
      </c>
      <c r="T61" s="25">
        <v>400</v>
      </c>
      <c r="U61" s="25"/>
      <c r="V61" s="19">
        <f t="shared" si="73"/>
        <v>76</v>
      </c>
      <c r="W61" s="25">
        <v>40</v>
      </c>
      <c r="X61" s="25"/>
      <c r="Y61" s="25"/>
      <c r="Z61" s="25"/>
      <c r="AA61" s="38">
        <f t="shared" si="44"/>
        <v>505</v>
      </c>
      <c r="AB61" s="40">
        <v>449</v>
      </c>
      <c r="AC61" s="40">
        <v>56</v>
      </c>
      <c r="AD61" s="38">
        <f t="shared" si="8"/>
        <v>0</v>
      </c>
    </row>
    <row r="62" spans="1:30" s="47" customFormat="1" ht="11.25" x14ac:dyDescent="0.2">
      <c r="A62" s="37">
        <v>8</v>
      </c>
      <c r="B62" s="44" t="s">
        <v>76</v>
      </c>
      <c r="C62" s="44"/>
      <c r="D62" s="44"/>
      <c r="E62" s="45"/>
      <c r="F62" s="37"/>
      <c r="G62" s="21">
        <f>G63+G64</f>
        <v>3980</v>
      </c>
      <c r="H62" s="21">
        <f t="shared" ref="H62:Y62" si="78">H63+H64</f>
        <v>3461</v>
      </c>
      <c r="I62" s="21">
        <f t="shared" si="78"/>
        <v>519</v>
      </c>
      <c r="J62" s="21">
        <f t="shared" si="78"/>
        <v>3980</v>
      </c>
      <c r="K62" s="21">
        <f t="shared" si="78"/>
        <v>3461</v>
      </c>
      <c r="L62" s="21">
        <f t="shared" si="78"/>
        <v>346</v>
      </c>
      <c r="M62" s="21">
        <f t="shared" si="78"/>
        <v>173</v>
      </c>
      <c r="N62" s="21">
        <f t="shared" si="78"/>
        <v>1711</v>
      </c>
      <c r="O62" s="21">
        <f t="shared" si="78"/>
        <v>1556</v>
      </c>
      <c r="P62" s="21">
        <f t="shared" si="78"/>
        <v>155</v>
      </c>
      <c r="Q62" s="21">
        <f t="shared" si="78"/>
        <v>0</v>
      </c>
      <c r="R62" s="21">
        <f t="shared" si="78"/>
        <v>2811</v>
      </c>
      <c r="S62" s="21">
        <f t="shared" si="78"/>
        <v>2556</v>
      </c>
      <c r="T62" s="21">
        <f t="shared" si="78"/>
        <v>1000</v>
      </c>
      <c r="U62" s="21">
        <f t="shared" si="78"/>
        <v>0</v>
      </c>
      <c r="V62" s="21">
        <f t="shared" si="78"/>
        <v>255</v>
      </c>
      <c r="W62" s="21">
        <f t="shared" si="78"/>
        <v>100</v>
      </c>
      <c r="X62" s="21">
        <f t="shared" si="78"/>
        <v>0</v>
      </c>
      <c r="Y62" s="21">
        <f t="shared" si="78"/>
        <v>0</v>
      </c>
      <c r="Z62" s="21"/>
      <c r="AA62" s="38">
        <f t="shared" si="44"/>
        <v>2443</v>
      </c>
      <c r="AB62" s="46">
        <v>2226</v>
      </c>
      <c r="AC62" s="47">
        <v>217</v>
      </c>
      <c r="AD62" s="38">
        <f t="shared" si="8"/>
        <v>0</v>
      </c>
    </row>
    <row r="63" spans="1:30" s="40" customFormat="1" ht="21" x14ac:dyDescent="0.2">
      <c r="A63" s="28"/>
      <c r="B63" s="34" t="s">
        <v>135</v>
      </c>
      <c r="C63" s="35" t="s">
        <v>58</v>
      </c>
      <c r="D63" s="35" t="s">
        <v>133</v>
      </c>
      <c r="E63" s="35" t="s">
        <v>60</v>
      </c>
      <c r="F63" s="35" t="s">
        <v>37</v>
      </c>
      <c r="G63" s="19">
        <f>H63+I63</f>
        <v>1341</v>
      </c>
      <c r="H63" s="25">
        <f>1105+61</f>
        <v>1166</v>
      </c>
      <c r="I63" s="25">
        <v>175</v>
      </c>
      <c r="J63" s="19">
        <f>SUM(K63:M63)</f>
        <v>1341</v>
      </c>
      <c r="K63" s="25">
        <f>1105+61</f>
        <v>1166</v>
      </c>
      <c r="L63" s="25">
        <v>117</v>
      </c>
      <c r="M63" s="25">
        <v>58</v>
      </c>
      <c r="N63" s="19">
        <f t="shared" si="40"/>
        <v>576</v>
      </c>
      <c r="O63" s="25">
        <v>524</v>
      </c>
      <c r="P63" s="25">
        <v>52</v>
      </c>
      <c r="Q63" s="19"/>
      <c r="R63" s="19">
        <f t="shared" ref="R63" si="79">S63+V63+Y63</f>
        <v>1016</v>
      </c>
      <c r="S63" s="19">
        <f>O63+T63</f>
        <v>924</v>
      </c>
      <c r="T63" s="25">
        <v>400</v>
      </c>
      <c r="U63" s="25"/>
      <c r="V63" s="19">
        <f t="shared" si="73"/>
        <v>92</v>
      </c>
      <c r="W63" s="25">
        <v>40</v>
      </c>
      <c r="X63" s="25"/>
      <c r="Y63" s="25"/>
      <c r="Z63" s="25"/>
      <c r="AA63" s="38">
        <f t="shared" si="44"/>
        <v>928</v>
      </c>
      <c r="AB63" s="40">
        <v>844</v>
      </c>
      <c r="AC63" s="40">
        <v>84</v>
      </c>
      <c r="AD63" s="38">
        <f t="shared" si="8"/>
        <v>0</v>
      </c>
    </row>
    <row r="64" spans="1:30" s="40" customFormat="1" ht="21" x14ac:dyDescent="0.2">
      <c r="A64" s="28"/>
      <c r="B64" s="34" t="s">
        <v>136</v>
      </c>
      <c r="C64" s="35" t="s">
        <v>58</v>
      </c>
      <c r="D64" s="35" t="s">
        <v>124</v>
      </c>
      <c r="E64" s="35" t="s">
        <v>60</v>
      </c>
      <c r="F64" s="35" t="s">
        <v>37</v>
      </c>
      <c r="G64" s="19">
        <f>H64+I64</f>
        <v>2639</v>
      </c>
      <c r="H64" s="25">
        <v>2295</v>
      </c>
      <c r="I64" s="25">
        <v>344</v>
      </c>
      <c r="J64" s="19">
        <f>SUM(K64:M64)</f>
        <v>2639</v>
      </c>
      <c r="K64" s="25">
        <v>2295</v>
      </c>
      <c r="L64" s="25">
        <v>229</v>
      </c>
      <c r="M64" s="25">
        <v>115</v>
      </c>
      <c r="N64" s="19">
        <f t="shared" si="40"/>
        <v>1135</v>
      </c>
      <c r="O64" s="25">
        <v>1032</v>
      </c>
      <c r="P64" s="25">
        <v>103</v>
      </c>
      <c r="Q64" s="19"/>
      <c r="R64" s="19">
        <f t="shared" ref="R64" si="80">S64+V64+Y64</f>
        <v>1795</v>
      </c>
      <c r="S64" s="19">
        <f>O64+T64</f>
        <v>1632</v>
      </c>
      <c r="T64" s="25">
        <v>600</v>
      </c>
      <c r="U64" s="25"/>
      <c r="V64" s="19">
        <f t="shared" si="73"/>
        <v>163</v>
      </c>
      <c r="W64" s="25">
        <v>60</v>
      </c>
      <c r="X64" s="25"/>
      <c r="Y64" s="25"/>
      <c r="Z64" s="25"/>
      <c r="AA64" s="38">
        <f t="shared" si="44"/>
        <v>1515</v>
      </c>
      <c r="AB64" s="40">
        <v>1382</v>
      </c>
      <c r="AC64" s="40">
        <v>133</v>
      </c>
      <c r="AD64" s="38">
        <f t="shared" si="8"/>
        <v>0</v>
      </c>
    </row>
    <row r="65" spans="1:30" s="47" customFormat="1" ht="11.25" x14ac:dyDescent="0.2">
      <c r="A65" s="37">
        <v>9</v>
      </c>
      <c r="B65" s="44" t="s">
        <v>137</v>
      </c>
      <c r="C65" s="44"/>
      <c r="D65" s="44"/>
      <c r="E65" s="45"/>
      <c r="F65" s="37"/>
      <c r="G65" s="21">
        <f>G66</f>
        <v>2139</v>
      </c>
      <c r="H65" s="21">
        <f t="shared" ref="H65:Y65" si="81">H66</f>
        <v>1860</v>
      </c>
      <c r="I65" s="21">
        <f t="shared" si="81"/>
        <v>279</v>
      </c>
      <c r="J65" s="21">
        <f t="shared" si="81"/>
        <v>2139</v>
      </c>
      <c r="K65" s="21">
        <f t="shared" si="81"/>
        <v>1860</v>
      </c>
      <c r="L65" s="21">
        <f t="shared" si="81"/>
        <v>186</v>
      </c>
      <c r="M65" s="21">
        <f t="shared" si="81"/>
        <v>93</v>
      </c>
      <c r="N65" s="21">
        <f t="shared" si="81"/>
        <v>920</v>
      </c>
      <c r="O65" s="21">
        <f t="shared" si="81"/>
        <v>837</v>
      </c>
      <c r="P65" s="21">
        <f t="shared" si="81"/>
        <v>83</v>
      </c>
      <c r="Q65" s="21">
        <f t="shared" si="81"/>
        <v>0</v>
      </c>
      <c r="R65" s="21">
        <f t="shared" si="81"/>
        <v>1580</v>
      </c>
      <c r="S65" s="21">
        <f t="shared" si="81"/>
        <v>1437</v>
      </c>
      <c r="T65" s="21">
        <f t="shared" si="81"/>
        <v>600</v>
      </c>
      <c r="U65" s="21">
        <f t="shared" si="81"/>
        <v>0</v>
      </c>
      <c r="V65" s="21">
        <f t="shared" si="81"/>
        <v>143</v>
      </c>
      <c r="W65" s="21">
        <f t="shared" si="81"/>
        <v>60</v>
      </c>
      <c r="X65" s="21">
        <f t="shared" si="81"/>
        <v>0</v>
      </c>
      <c r="Y65" s="21">
        <f t="shared" si="81"/>
        <v>0</v>
      </c>
      <c r="Z65" s="21"/>
      <c r="AA65" s="38">
        <f t="shared" si="44"/>
        <v>1410</v>
      </c>
      <c r="AB65" s="46">
        <v>1287</v>
      </c>
      <c r="AC65" s="47">
        <v>123</v>
      </c>
      <c r="AD65" s="38">
        <f t="shared" si="8"/>
        <v>0</v>
      </c>
    </row>
    <row r="66" spans="1:30" s="40" customFormat="1" ht="21" x14ac:dyDescent="0.2">
      <c r="A66" s="28"/>
      <c r="B66" s="34" t="s">
        <v>142</v>
      </c>
      <c r="C66" s="35" t="s">
        <v>55</v>
      </c>
      <c r="D66" s="35" t="s">
        <v>143</v>
      </c>
      <c r="E66" s="35" t="s">
        <v>144</v>
      </c>
      <c r="F66" s="35" t="s">
        <v>37</v>
      </c>
      <c r="G66" s="19">
        <v>2139</v>
      </c>
      <c r="H66" s="25">
        <v>1860</v>
      </c>
      <c r="I66" s="25">
        <v>279</v>
      </c>
      <c r="J66" s="19">
        <v>2139</v>
      </c>
      <c r="K66" s="25">
        <v>1860</v>
      </c>
      <c r="L66" s="25">
        <v>186</v>
      </c>
      <c r="M66" s="25">
        <v>93</v>
      </c>
      <c r="N66" s="19">
        <f t="shared" si="40"/>
        <v>920</v>
      </c>
      <c r="O66" s="25">
        <v>837</v>
      </c>
      <c r="P66" s="25">
        <v>83</v>
      </c>
      <c r="Q66" s="19"/>
      <c r="R66" s="19">
        <f t="shared" ref="R66" si="82">S66+V66+Y66</f>
        <v>1580</v>
      </c>
      <c r="S66" s="19">
        <f>O66+T66</f>
        <v>1437</v>
      </c>
      <c r="T66" s="25">
        <v>600</v>
      </c>
      <c r="U66" s="25"/>
      <c r="V66" s="19">
        <f t="shared" si="73"/>
        <v>143</v>
      </c>
      <c r="W66" s="25">
        <v>60</v>
      </c>
      <c r="X66" s="25"/>
      <c r="Y66" s="25"/>
      <c r="Z66" s="25"/>
      <c r="AA66" s="38">
        <f t="shared" si="44"/>
        <v>1410</v>
      </c>
      <c r="AB66" s="40">
        <v>1287</v>
      </c>
      <c r="AC66" s="40">
        <v>123</v>
      </c>
      <c r="AD66" s="38">
        <f t="shared" si="8"/>
        <v>0</v>
      </c>
    </row>
    <row r="67" spans="1:30" s="47" customFormat="1" ht="11.25" x14ac:dyDescent="0.2">
      <c r="A67" s="37">
        <v>10</v>
      </c>
      <c r="B67" s="44" t="s">
        <v>141</v>
      </c>
      <c r="C67" s="44"/>
      <c r="D67" s="44"/>
      <c r="E67" s="45"/>
      <c r="F67" s="37"/>
      <c r="G67" s="21">
        <f>SUM(G68:G70)</f>
        <v>3439</v>
      </c>
      <c r="H67" s="21">
        <f t="shared" ref="H67:Y67" si="83">SUM(H68:H70)</f>
        <v>2990</v>
      </c>
      <c r="I67" s="21">
        <f t="shared" si="83"/>
        <v>449</v>
      </c>
      <c r="J67" s="21">
        <f t="shared" si="83"/>
        <v>3439</v>
      </c>
      <c r="K67" s="21">
        <f t="shared" si="83"/>
        <v>2990</v>
      </c>
      <c r="L67" s="21">
        <f t="shared" si="83"/>
        <v>299</v>
      </c>
      <c r="M67" s="21">
        <f t="shared" si="83"/>
        <v>150</v>
      </c>
      <c r="N67" s="21">
        <f t="shared" si="83"/>
        <v>1479</v>
      </c>
      <c r="O67" s="21">
        <f t="shared" si="83"/>
        <v>1345</v>
      </c>
      <c r="P67" s="21">
        <f t="shared" si="83"/>
        <v>134</v>
      </c>
      <c r="Q67" s="21">
        <f t="shared" si="83"/>
        <v>0</v>
      </c>
      <c r="R67" s="21">
        <f t="shared" si="83"/>
        <v>2512</v>
      </c>
      <c r="S67" s="21">
        <f t="shared" si="83"/>
        <v>2298</v>
      </c>
      <c r="T67" s="21">
        <f t="shared" si="83"/>
        <v>953</v>
      </c>
      <c r="U67" s="21">
        <f t="shared" si="83"/>
        <v>0</v>
      </c>
      <c r="V67" s="21">
        <f t="shared" si="83"/>
        <v>214</v>
      </c>
      <c r="W67" s="21">
        <f t="shared" si="83"/>
        <v>80</v>
      </c>
      <c r="X67" s="21">
        <f t="shared" si="83"/>
        <v>0</v>
      </c>
      <c r="Y67" s="21">
        <f t="shared" si="83"/>
        <v>0</v>
      </c>
      <c r="Z67" s="21"/>
      <c r="AA67" s="38">
        <f t="shared" si="44"/>
        <v>2512</v>
      </c>
      <c r="AB67" s="46">
        <v>2298</v>
      </c>
      <c r="AC67" s="47">
        <v>214</v>
      </c>
      <c r="AD67" s="38">
        <f t="shared" si="8"/>
        <v>0</v>
      </c>
    </row>
    <row r="68" spans="1:30" s="40" customFormat="1" ht="31.5" x14ac:dyDescent="0.2">
      <c r="A68" s="28"/>
      <c r="B68" s="34" t="s">
        <v>138</v>
      </c>
      <c r="C68" s="35" t="s">
        <v>43</v>
      </c>
      <c r="D68" s="35" t="s">
        <v>147</v>
      </c>
      <c r="E68" s="35" t="s">
        <v>45</v>
      </c>
      <c r="F68" s="35" t="s">
        <v>37</v>
      </c>
      <c r="G68" s="19">
        <f>H68+I68</f>
        <v>1564</v>
      </c>
      <c r="H68" s="25">
        <f>K68</f>
        <v>1360</v>
      </c>
      <c r="I68" s="25">
        <f>L68+M68</f>
        <v>204</v>
      </c>
      <c r="J68" s="19">
        <f>K68+L68+M68</f>
        <v>1564</v>
      </c>
      <c r="K68" s="25">
        <v>1360</v>
      </c>
      <c r="L68" s="25">
        <v>136</v>
      </c>
      <c r="M68" s="25">
        <v>68</v>
      </c>
      <c r="N68" s="19">
        <f t="shared" si="40"/>
        <v>673</v>
      </c>
      <c r="O68" s="25">
        <v>612</v>
      </c>
      <c r="P68" s="25">
        <v>61</v>
      </c>
      <c r="Q68" s="19"/>
      <c r="R68" s="19">
        <f t="shared" ref="R68" si="84">S68+V68+Y68</f>
        <v>1046</v>
      </c>
      <c r="S68" s="19">
        <f>O68+T68</f>
        <v>955</v>
      </c>
      <c r="T68" s="25">
        <v>343</v>
      </c>
      <c r="U68" s="25"/>
      <c r="V68" s="19">
        <f t="shared" si="73"/>
        <v>91</v>
      </c>
      <c r="W68" s="25">
        <v>30</v>
      </c>
      <c r="X68" s="25"/>
      <c r="Y68" s="25"/>
      <c r="Z68" s="25"/>
      <c r="AA68" s="38">
        <f t="shared" si="44"/>
        <v>1046</v>
      </c>
      <c r="AB68" s="40">
        <v>955</v>
      </c>
      <c r="AC68" s="40">
        <v>91</v>
      </c>
      <c r="AD68" s="38">
        <f t="shared" si="8"/>
        <v>0</v>
      </c>
    </row>
    <row r="69" spans="1:30" s="40" customFormat="1" ht="21" x14ac:dyDescent="0.2">
      <c r="A69" s="28"/>
      <c r="B69" s="34" t="s">
        <v>139</v>
      </c>
      <c r="C69" s="35" t="s">
        <v>43</v>
      </c>
      <c r="D69" s="35" t="s">
        <v>148</v>
      </c>
      <c r="E69" s="35" t="s">
        <v>45</v>
      </c>
      <c r="F69" s="35" t="s">
        <v>37</v>
      </c>
      <c r="G69" s="19">
        <f>H69+I69</f>
        <v>775</v>
      </c>
      <c r="H69" s="25">
        <v>675</v>
      </c>
      <c r="I69" s="25">
        <f>L69+M69</f>
        <v>100</v>
      </c>
      <c r="J69" s="19">
        <f t="shared" ref="J69:J70" si="85">K69+L69+M69</f>
        <v>775</v>
      </c>
      <c r="K69" s="25">
        <v>675</v>
      </c>
      <c r="L69" s="25">
        <v>67</v>
      </c>
      <c r="M69" s="25">
        <v>33</v>
      </c>
      <c r="N69" s="19">
        <f t="shared" si="40"/>
        <v>344</v>
      </c>
      <c r="O69" s="25">
        <v>313</v>
      </c>
      <c r="P69" s="25">
        <v>31</v>
      </c>
      <c r="Q69" s="19"/>
      <c r="R69" s="19">
        <f t="shared" ref="R69:R70" si="86">S69+V69+Y69</f>
        <v>624</v>
      </c>
      <c r="S69" s="19">
        <f t="shared" ref="S69:S70" si="87">O69+T69</f>
        <v>573</v>
      </c>
      <c r="T69" s="25">
        <v>260</v>
      </c>
      <c r="U69" s="25"/>
      <c r="V69" s="19">
        <f t="shared" si="73"/>
        <v>51</v>
      </c>
      <c r="W69" s="25">
        <v>20</v>
      </c>
      <c r="X69" s="25"/>
      <c r="Y69" s="25"/>
      <c r="Z69" s="25"/>
      <c r="AA69" s="38">
        <f t="shared" si="44"/>
        <v>624</v>
      </c>
      <c r="AB69" s="40">
        <v>573</v>
      </c>
      <c r="AC69" s="40">
        <v>51</v>
      </c>
      <c r="AD69" s="38">
        <f t="shared" si="8"/>
        <v>0</v>
      </c>
    </row>
    <row r="70" spans="1:30" s="40" customFormat="1" ht="21" x14ac:dyDescent="0.2">
      <c r="A70" s="28"/>
      <c r="B70" s="34" t="s">
        <v>140</v>
      </c>
      <c r="C70" s="35" t="s">
        <v>43</v>
      </c>
      <c r="D70" s="35" t="s">
        <v>149</v>
      </c>
      <c r="E70" s="35" t="s">
        <v>45</v>
      </c>
      <c r="F70" s="35" t="s">
        <v>37</v>
      </c>
      <c r="G70" s="19">
        <f>H70+I70</f>
        <v>1100</v>
      </c>
      <c r="H70" s="25">
        <v>955</v>
      </c>
      <c r="I70" s="25">
        <f>L70+M70</f>
        <v>145</v>
      </c>
      <c r="J70" s="19">
        <f t="shared" si="85"/>
        <v>1100</v>
      </c>
      <c r="K70" s="25">
        <v>955</v>
      </c>
      <c r="L70" s="25">
        <v>96</v>
      </c>
      <c r="M70" s="25">
        <v>49</v>
      </c>
      <c r="N70" s="19">
        <f t="shared" si="40"/>
        <v>462</v>
      </c>
      <c r="O70" s="25">
        <v>420</v>
      </c>
      <c r="P70" s="25">
        <v>42</v>
      </c>
      <c r="Q70" s="19"/>
      <c r="R70" s="19">
        <f t="shared" si="86"/>
        <v>842</v>
      </c>
      <c r="S70" s="19">
        <f t="shared" si="87"/>
        <v>770</v>
      </c>
      <c r="T70" s="25">
        <v>350</v>
      </c>
      <c r="U70" s="25"/>
      <c r="V70" s="19">
        <f t="shared" si="73"/>
        <v>72</v>
      </c>
      <c r="W70" s="25">
        <v>30</v>
      </c>
      <c r="X70" s="25"/>
      <c r="Y70" s="25"/>
      <c r="Z70" s="25"/>
      <c r="AA70" s="38">
        <f t="shared" si="44"/>
        <v>842</v>
      </c>
      <c r="AB70" s="40">
        <v>770</v>
      </c>
      <c r="AC70" s="40">
        <v>72</v>
      </c>
      <c r="AD70" s="38">
        <f t="shared" si="8"/>
        <v>0</v>
      </c>
    </row>
    <row r="71" spans="1:30" s="47" customFormat="1" ht="11.25" x14ac:dyDescent="0.2">
      <c r="A71" s="37">
        <v>11</v>
      </c>
      <c r="B71" s="44" t="s">
        <v>93</v>
      </c>
      <c r="C71" s="44"/>
      <c r="D71" s="44"/>
      <c r="E71" s="45"/>
      <c r="F71" s="37"/>
      <c r="G71" s="21">
        <f>SUM(G72:G73)</f>
        <v>2598</v>
      </c>
      <c r="H71" s="21">
        <f t="shared" ref="H71:Y71" si="88">SUM(H72:H73)</f>
        <v>2259</v>
      </c>
      <c r="I71" s="21">
        <f t="shared" si="88"/>
        <v>339</v>
      </c>
      <c r="J71" s="21">
        <f t="shared" si="88"/>
        <v>2485</v>
      </c>
      <c r="K71" s="21">
        <f t="shared" si="88"/>
        <v>2259</v>
      </c>
      <c r="L71" s="21">
        <f t="shared" si="88"/>
        <v>226</v>
      </c>
      <c r="M71" s="21">
        <f t="shared" si="88"/>
        <v>113</v>
      </c>
      <c r="N71" s="21">
        <f t="shared" si="88"/>
        <v>1117</v>
      </c>
      <c r="O71" s="21">
        <f t="shared" si="88"/>
        <v>1016</v>
      </c>
      <c r="P71" s="21">
        <f t="shared" si="88"/>
        <v>101</v>
      </c>
      <c r="Q71" s="21">
        <f t="shared" si="88"/>
        <v>0</v>
      </c>
      <c r="R71" s="21">
        <f t="shared" si="88"/>
        <v>1903</v>
      </c>
      <c r="S71" s="21">
        <f t="shared" si="88"/>
        <v>1742</v>
      </c>
      <c r="T71" s="21">
        <f t="shared" si="88"/>
        <v>726</v>
      </c>
      <c r="U71" s="21">
        <f t="shared" si="88"/>
        <v>0</v>
      </c>
      <c r="V71" s="21">
        <f t="shared" si="88"/>
        <v>161</v>
      </c>
      <c r="W71" s="21">
        <f t="shared" si="88"/>
        <v>60</v>
      </c>
      <c r="X71" s="21">
        <f t="shared" si="88"/>
        <v>0</v>
      </c>
      <c r="Y71" s="21">
        <f t="shared" si="88"/>
        <v>0</v>
      </c>
      <c r="Z71" s="21"/>
      <c r="AA71" s="38">
        <f t="shared" si="44"/>
        <v>1832</v>
      </c>
      <c r="AB71" s="46">
        <v>1686</v>
      </c>
      <c r="AC71" s="47">
        <v>146</v>
      </c>
      <c r="AD71" s="38">
        <f t="shared" si="8"/>
        <v>0</v>
      </c>
    </row>
    <row r="72" spans="1:30" s="40" customFormat="1" ht="31.5" x14ac:dyDescent="0.2">
      <c r="A72" s="28"/>
      <c r="B72" s="34" t="s">
        <v>145</v>
      </c>
      <c r="C72" s="35" t="s">
        <v>52</v>
      </c>
      <c r="D72" s="35" t="s">
        <v>147</v>
      </c>
      <c r="E72" s="35" t="s">
        <v>146</v>
      </c>
      <c r="F72" s="35" t="s">
        <v>37</v>
      </c>
      <c r="G72" s="19">
        <f t="shared" ref="G72:G73" si="89">H72+I72</f>
        <v>1495</v>
      </c>
      <c r="H72" s="25">
        <v>1300</v>
      </c>
      <c r="I72" s="25">
        <v>195</v>
      </c>
      <c r="J72" s="19">
        <f t="shared" ref="J72:J73" si="90">K72+L72</f>
        <v>1430</v>
      </c>
      <c r="K72" s="25">
        <v>1300</v>
      </c>
      <c r="L72" s="25">
        <v>130</v>
      </c>
      <c r="M72" s="25">
        <v>65</v>
      </c>
      <c r="N72" s="19">
        <f t="shared" si="40"/>
        <v>643</v>
      </c>
      <c r="O72" s="25">
        <v>585</v>
      </c>
      <c r="P72" s="25">
        <v>58</v>
      </c>
      <c r="Q72" s="19"/>
      <c r="R72" s="19">
        <f t="shared" ref="R72" si="91">S72+V72+Y72</f>
        <v>999</v>
      </c>
      <c r="S72" s="19">
        <f t="shared" ref="S72" si="92">O72+T72</f>
        <v>911</v>
      </c>
      <c r="T72" s="25">
        <f>400-74</f>
        <v>326</v>
      </c>
      <c r="U72" s="25"/>
      <c r="V72" s="19">
        <f t="shared" si="73"/>
        <v>88</v>
      </c>
      <c r="W72" s="25">
        <v>30</v>
      </c>
      <c r="X72" s="25"/>
      <c r="Y72" s="25"/>
      <c r="Z72" s="25"/>
      <c r="AA72" s="38">
        <f t="shared" si="44"/>
        <v>1018</v>
      </c>
      <c r="AB72" s="40">
        <v>935</v>
      </c>
      <c r="AC72" s="40">
        <v>83</v>
      </c>
      <c r="AD72" s="38">
        <f t="shared" si="8"/>
        <v>0</v>
      </c>
    </row>
    <row r="73" spans="1:30" s="40" customFormat="1" ht="21" x14ac:dyDescent="0.2">
      <c r="A73" s="28"/>
      <c r="B73" s="34" t="s">
        <v>150</v>
      </c>
      <c r="C73" s="35" t="s">
        <v>52</v>
      </c>
      <c r="D73" s="35" t="s">
        <v>151</v>
      </c>
      <c r="E73" s="35" t="s">
        <v>146</v>
      </c>
      <c r="F73" s="35" t="s">
        <v>37</v>
      </c>
      <c r="G73" s="19">
        <f t="shared" si="89"/>
        <v>1103</v>
      </c>
      <c r="H73" s="25">
        <v>959</v>
      </c>
      <c r="I73" s="25">
        <v>144</v>
      </c>
      <c r="J73" s="19">
        <f t="shared" si="90"/>
        <v>1055</v>
      </c>
      <c r="K73" s="25">
        <v>959</v>
      </c>
      <c r="L73" s="25">
        <v>96</v>
      </c>
      <c r="M73" s="25">
        <v>48</v>
      </c>
      <c r="N73" s="19">
        <f t="shared" si="40"/>
        <v>474</v>
      </c>
      <c r="O73" s="25">
        <v>431</v>
      </c>
      <c r="P73" s="25">
        <v>43</v>
      </c>
      <c r="Q73" s="19"/>
      <c r="R73" s="19">
        <f t="shared" ref="R73" si="93">S73+V73+Y73</f>
        <v>904</v>
      </c>
      <c r="S73" s="19">
        <f t="shared" ref="S73" si="94">O73+T73</f>
        <v>831</v>
      </c>
      <c r="T73" s="25">
        <v>400</v>
      </c>
      <c r="U73" s="25"/>
      <c r="V73" s="19">
        <f t="shared" si="73"/>
        <v>73</v>
      </c>
      <c r="W73" s="25">
        <v>30</v>
      </c>
      <c r="X73" s="25"/>
      <c r="Y73" s="25"/>
      <c r="Z73" s="25"/>
      <c r="AA73" s="38">
        <f t="shared" si="44"/>
        <v>814</v>
      </c>
      <c r="AB73" s="40">
        <v>751</v>
      </c>
      <c r="AC73" s="40">
        <v>63</v>
      </c>
      <c r="AD73" s="38">
        <f t="shared" si="8"/>
        <v>0</v>
      </c>
    </row>
    <row r="74" spans="1:30" s="47" customFormat="1" ht="11.25" x14ac:dyDescent="0.2">
      <c r="A74" s="37">
        <v>12</v>
      </c>
      <c r="B74" s="44" t="s">
        <v>79</v>
      </c>
      <c r="C74" s="44"/>
      <c r="D74" s="44"/>
      <c r="E74" s="45"/>
      <c r="F74" s="37"/>
      <c r="G74" s="21">
        <f>SUM(G75:G78)</f>
        <v>4106</v>
      </c>
      <c r="H74" s="21">
        <f t="shared" ref="H74:Y74" si="95">SUM(H75:H78)</f>
        <v>3570</v>
      </c>
      <c r="I74" s="21">
        <f t="shared" si="95"/>
        <v>536</v>
      </c>
      <c r="J74" s="21">
        <f t="shared" si="95"/>
        <v>4106</v>
      </c>
      <c r="K74" s="21">
        <f t="shared" si="95"/>
        <v>3570</v>
      </c>
      <c r="L74" s="21">
        <f t="shared" si="95"/>
        <v>358</v>
      </c>
      <c r="M74" s="21">
        <f t="shared" si="95"/>
        <v>178</v>
      </c>
      <c r="N74" s="21">
        <f t="shared" si="95"/>
        <v>1764</v>
      </c>
      <c r="O74" s="21">
        <f t="shared" si="95"/>
        <v>1605</v>
      </c>
      <c r="P74" s="21">
        <f t="shared" si="95"/>
        <v>159</v>
      </c>
      <c r="Q74" s="21">
        <f t="shared" si="95"/>
        <v>0</v>
      </c>
      <c r="R74" s="21">
        <f t="shared" si="95"/>
        <v>3411</v>
      </c>
      <c r="S74" s="21">
        <f t="shared" si="95"/>
        <v>3109</v>
      </c>
      <c r="T74" s="21">
        <f t="shared" si="95"/>
        <v>1504</v>
      </c>
      <c r="U74" s="21">
        <f t="shared" si="95"/>
        <v>0</v>
      </c>
      <c r="V74" s="21">
        <f t="shared" si="95"/>
        <v>302</v>
      </c>
      <c r="W74" s="21">
        <f t="shared" si="95"/>
        <v>143</v>
      </c>
      <c r="X74" s="21">
        <f t="shared" si="95"/>
        <v>0</v>
      </c>
      <c r="Y74" s="21">
        <f t="shared" si="95"/>
        <v>0</v>
      </c>
      <c r="Z74" s="21"/>
      <c r="AA74" s="38">
        <f t="shared" si="44"/>
        <v>3211</v>
      </c>
      <c r="AB74" s="46">
        <v>2929</v>
      </c>
      <c r="AC74" s="47">
        <v>282</v>
      </c>
      <c r="AD74" s="38">
        <f t="shared" si="8"/>
        <v>0</v>
      </c>
    </row>
    <row r="75" spans="1:30" s="40" customFormat="1" ht="21" x14ac:dyDescent="0.2">
      <c r="A75" s="28"/>
      <c r="B75" s="34" t="s">
        <v>152</v>
      </c>
      <c r="C75" s="35" t="s">
        <v>46</v>
      </c>
      <c r="D75" s="35" t="s">
        <v>161</v>
      </c>
      <c r="E75" s="35" t="s">
        <v>153</v>
      </c>
      <c r="F75" s="35" t="s">
        <v>37</v>
      </c>
      <c r="G75" s="19">
        <f>H75+I75</f>
        <v>1173</v>
      </c>
      <c r="H75" s="25">
        <v>1020</v>
      </c>
      <c r="I75" s="25">
        <v>153</v>
      </c>
      <c r="J75" s="19">
        <f>K75+L75+M75</f>
        <v>1173</v>
      </c>
      <c r="K75" s="25">
        <v>1020</v>
      </c>
      <c r="L75" s="25">
        <v>102</v>
      </c>
      <c r="M75" s="25">
        <v>51</v>
      </c>
      <c r="N75" s="19">
        <f t="shared" si="40"/>
        <v>504</v>
      </c>
      <c r="O75" s="25">
        <v>459</v>
      </c>
      <c r="P75" s="25">
        <v>45</v>
      </c>
      <c r="Q75" s="19"/>
      <c r="R75" s="19">
        <f t="shared" ref="R75" si="96">S75+V75+Y75</f>
        <v>944</v>
      </c>
      <c r="S75" s="19">
        <f t="shared" ref="S75" si="97">O75+T75</f>
        <v>859</v>
      </c>
      <c r="T75" s="25">
        <v>400</v>
      </c>
      <c r="U75" s="25"/>
      <c r="V75" s="19">
        <f t="shared" si="73"/>
        <v>85</v>
      </c>
      <c r="W75" s="25">
        <v>40</v>
      </c>
      <c r="X75" s="25"/>
      <c r="Y75" s="25"/>
      <c r="Z75" s="25"/>
      <c r="AA75" s="38">
        <f t="shared" si="44"/>
        <v>744</v>
      </c>
      <c r="AB75" s="40">
        <v>679</v>
      </c>
      <c r="AC75" s="40">
        <v>65</v>
      </c>
      <c r="AD75" s="38">
        <f t="shared" si="8"/>
        <v>0</v>
      </c>
    </row>
    <row r="76" spans="1:30" s="40" customFormat="1" ht="21" x14ac:dyDescent="0.2">
      <c r="A76" s="28"/>
      <c r="B76" s="34" t="s">
        <v>154</v>
      </c>
      <c r="C76" s="35" t="s">
        <v>46</v>
      </c>
      <c r="D76" s="35" t="s">
        <v>159</v>
      </c>
      <c r="E76" s="35" t="s">
        <v>153</v>
      </c>
      <c r="F76" s="35" t="s">
        <v>37</v>
      </c>
      <c r="G76" s="19">
        <f t="shared" ref="G76:G78" si="98">H76+I76</f>
        <v>1466</v>
      </c>
      <c r="H76" s="25">
        <v>1275</v>
      </c>
      <c r="I76" s="25">
        <v>191</v>
      </c>
      <c r="J76" s="19">
        <f t="shared" ref="J76:J78" si="99">K76+L76+M76</f>
        <v>1466</v>
      </c>
      <c r="K76" s="25">
        <v>1275</v>
      </c>
      <c r="L76" s="25">
        <v>128</v>
      </c>
      <c r="M76" s="25">
        <v>63</v>
      </c>
      <c r="N76" s="19">
        <f t="shared" si="40"/>
        <v>630</v>
      </c>
      <c r="O76" s="25">
        <v>573</v>
      </c>
      <c r="P76" s="25">
        <v>57</v>
      </c>
      <c r="Q76" s="19"/>
      <c r="R76" s="19">
        <f t="shared" ref="R76:R78" si="100">S76+V76+Y76</f>
        <v>1064</v>
      </c>
      <c r="S76" s="19">
        <f t="shared" ref="S76:S78" si="101">O76+T76</f>
        <v>975</v>
      </c>
      <c r="T76" s="25">
        <v>402</v>
      </c>
      <c r="U76" s="25"/>
      <c r="V76" s="19">
        <f t="shared" si="73"/>
        <v>89</v>
      </c>
      <c r="W76" s="25">
        <v>32</v>
      </c>
      <c r="X76" s="25"/>
      <c r="Y76" s="25"/>
      <c r="Z76" s="25"/>
      <c r="AA76" s="38">
        <f t="shared" si="44"/>
        <v>1064</v>
      </c>
      <c r="AB76" s="40">
        <v>975</v>
      </c>
      <c r="AC76" s="40">
        <v>89</v>
      </c>
      <c r="AD76" s="38">
        <f t="shared" si="8"/>
        <v>0</v>
      </c>
    </row>
    <row r="77" spans="1:30" s="40" customFormat="1" ht="21" x14ac:dyDescent="0.2">
      <c r="A77" s="28"/>
      <c r="B77" s="34" t="s">
        <v>155</v>
      </c>
      <c r="C77" s="35" t="s">
        <v>46</v>
      </c>
      <c r="D77" s="35" t="s">
        <v>159</v>
      </c>
      <c r="E77" s="35" t="s">
        <v>156</v>
      </c>
      <c r="F77" s="35" t="s">
        <v>37</v>
      </c>
      <c r="G77" s="19">
        <f t="shared" si="98"/>
        <v>816</v>
      </c>
      <c r="H77" s="25">
        <v>709</v>
      </c>
      <c r="I77" s="25">
        <f>71+36</f>
        <v>107</v>
      </c>
      <c r="J77" s="19">
        <f t="shared" si="99"/>
        <v>816</v>
      </c>
      <c r="K77" s="25">
        <v>709</v>
      </c>
      <c r="L77" s="25">
        <v>71</v>
      </c>
      <c r="M77" s="25">
        <v>36</v>
      </c>
      <c r="N77" s="19">
        <f t="shared" si="40"/>
        <v>343</v>
      </c>
      <c r="O77" s="25">
        <v>312</v>
      </c>
      <c r="P77" s="25">
        <v>31</v>
      </c>
      <c r="Q77" s="19"/>
      <c r="R77" s="19">
        <f t="shared" si="100"/>
        <v>780</v>
      </c>
      <c r="S77" s="19">
        <f t="shared" si="101"/>
        <v>709</v>
      </c>
      <c r="T77" s="25">
        <f t="shared" ref="T77:T78" si="102">K77-O77</f>
        <v>397</v>
      </c>
      <c r="U77" s="25"/>
      <c r="V77" s="19">
        <f t="shared" si="73"/>
        <v>71</v>
      </c>
      <c r="W77" s="25">
        <f t="shared" ref="W77:W78" si="103">L77-P77</f>
        <v>40</v>
      </c>
      <c r="X77" s="25"/>
      <c r="Y77" s="25"/>
      <c r="Z77" s="25"/>
      <c r="AA77" s="38">
        <f t="shared" si="44"/>
        <v>780</v>
      </c>
      <c r="AB77" s="40">
        <v>709</v>
      </c>
      <c r="AC77" s="40">
        <v>71</v>
      </c>
      <c r="AD77" s="38">
        <f t="shared" si="8"/>
        <v>0</v>
      </c>
    </row>
    <row r="78" spans="1:30" s="40" customFormat="1" ht="21" x14ac:dyDescent="0.2">
      <c r="A78" s="28"/>
      <c r="B78" s="34" t="s">
        <v>157</v>
      </c>
      <c r="C78" s="35" t="s">
        <v>46</v>
      </c>
      <c r="D78" s="35" t="s">
        <v>160</v>
      </c>
      <c r="E78" s="35" t="s">
        <v>158</v>
      </c>
      <c r="F78" s="35" t="s">
        <v>37</v>
      </c>
      <c r="G78" s="19">
        <f t="shared" si="98"/>
        <v>651</v>
      </c>
      <c r="H78" s="25">
        <v>566</v>
      </c>
      <c r="I78" s="25">
        <f>57+28</f>
        <v>85</v>
      </c>
      <c r="J78" s="19">
        <f t="shared" si="99"/>
        <v>651</v>
      </c>
      <c r="K78" s="25">
        <v>566</v>
      </c>
      <c r="L78" s="25">
        <v>57</v>
      </c>
      <c r="M78" s="25">
        <v>28</v>
      </c>
      <c r="N78" s="19">
        <f t="shared" si="40"/>
        <v>287</v>
      </c>
      <c r="O78" s="25">
        <v>261</v>
      </c>
      <c r="P78" s="25">
        <v>26</v>
      </c>
      <c r="Q78" s="19"/>
      <c r="R78" s="19">
        <f t="shared" si="100"/>
        <v>623</v>
      </c>
      <c r="S78" s="19">
        <f t="shared" si="101"/>
        <v>566</v>
      </c>
      <c r="T78" s="25">
        <f t="shared" si="102"/>
        <v>305</v>
      </c>
      <c r="U78" s="25"/>
      <c r="V78" s="19">
        <f t="shared" si="73"/>
        <v>57</v>
      </c>
      <c r="W78" s="25">
        <f t="shared" si="103"/>
        <v>31</v>
      </c>
      <c r="X78" s="25"/>
      <c r="Y78" s="25"/>
      <c r="Z78" s="25"/>
      <c r="AA78" s="38">
        <f t="shared" si="44"/>
        <v>623</v>
      </c>
      <c r="AB78" s="40">
        <v>566</v>
      </c>
      <c r="AC78" s="40">
        <v>57</v>
      </c>
      <c r="AD78" s="38">
        <f t="shared" si="8"/>
        <v>0</v>
      </c>
    </row>
    <row r="79" spans="1:30" s="40" customFormat="1" ht="20.100000000000001" customHeight="1" x14ac:dyDescent="0.2">
      <c r="A79" s="29" t="s">
        <v>166</v>
      </c>
      <c r="B79" s="52" t="s">
        <v>167</v>
      </c>
      <c r="C79" s="52">
        <v>7572</v>
      </c>
      <c r="D79" s="52"/>
      <c r="E79" s="52">
        <v>6584</v>
      </c>
      <c r="F79" s="52">
        <v>692</v>
      </c>
      <c r="G79" s="19">
        <f>G80</f>
        <v>8086</v>
      </c>
      <c r="H79" s="19">
        <f t="shared" ref="H79:Y79" si="104">H80</f>
        <v>7335</v>
      </c>
      <c r="I79" s="19">
        <f t="shared" si="104"/>
        <v>751</v>
      </c>
      <c r="J79" s="19">
        <f t="shared" si="104"/>
        <v>8086</v>
      </c>
      <c r="K79" s="19">
        <f t="shared" si="104"/>
        <v>7335</v>
      </c>
      <c r="L79" s="19">
        <f t="shared" si="104"/>
        <v>500</v>
      </c>
      <c r="M79" s="19">
        <f t="shared" si="104"/>
        <v>251</v>
      </c>
      <c r="N79" s="19">
        <f t="shared" si="104"/>
        <v>6284</v>
      </c>
      <c r="O79" s="19">
        <f t="shared" si="104"/>
        <v>5784</v>
      </c>
      <c r="P79" s="19">
        <f t="shared" si="104"/>
        <v>500</v>
      </c>
      <c r="Q79" s="19">
        <f t="shared" si="104"/>
        <v>0</v>
      </c>
      <c r="R79" s="19">
        <f t="shared" si="104"/>
        <v>0</v>
      </c>
      <c r="S79" s="19">
        <f t="shared" si="104"/>
        <v>0</v>
      </c>
      <c r="T79" s="19">
        <f t="shared" si="104"/>
        <v>0</v>
      </c>
      <c r="U79" s="19">
        <f t="shared" si="104"/>
        <v>5784</v>
      </c>
      <c r="V79" s="19">
        <f t="shared" si="104"/>
        <v>0</v>
      </c>
      <c r="W79" s="19">
        <f t="shared" si="104"/>
        <v>0</v>
      </c>
      <c r="X79" s="19">
        <f t="shared" si="104"/>
        <v>500</v>
      </c>
      <c r="Y79" s="19">
        <f t="shared" si="104"/>
        <v>0</v>
      </c>
      <c r="Z79" s="19"/>
      <c r="AA79" s="38">
        <f t="shared" si="44"/>
        <v>29990</v>
      </c>
      <c r="AB79" s="39">
        <v>27266</v>
      </c>
      <c r="AC79" s="39">
        <v>2724</v>
      </c>
      <c r="AD79" s="38">
        <f t="shared" ref="AD79:AD80" si="105">AA79-AB79-AC79</f>
        <v>0</v>
      </c>
    </row>
    <row r="80" spans="1:30" s="40" customFormat="1" ht="32.450000000000003" customHeight="1" x14ac:dyDescent="0.2">
      <c r="A80" s="48"/>
      <c r="B80" s="53" t="s">
        <v>168</v>
      </c>
      <c r="C80" s="53">
        <v>7572</v>
      </c>
      <c r="D80" s="53"/>
      <c r="E80" s="53">
        <v>6584</v>
      </c>
      <c r="F80" s="53">
        <v>692</v>
      </c>
      <c r="G80" s="19">
        <f t="shared" ref="G80" si="106">H80+I80</f>
        <v>8086</v>
      </c>
      <c r="H80" s="25">
        <v>7335</v>
      </c>
      <c r="I80" s="25">
        <v>751</v>
      </c>
      <c r="J80" s="19">
        <f t="shared" ref="J80" si="107">SUM(K80:M80)</f>
        <v>8086</v>
      </c>
      <c r="K80" s="25">
        <v>7335</v>
      </c>
      <c r="L80" s="25">
        <v>500</v>
      </c>
      <c r="M80" s="25">
        <v>251</v>
      </c>
      <c r="N80" s="19">
        <f>O80+P80+Q80</f>
        <v>6284</v>
      </c>
      <c r="O80" s="25">
        <v>5784</v>
      </c>
      <c r="P80" s="25">
        <v>500</v>
      </c>
      <c r="Q80" s="19">
        <f t="shared" ref="Q80" si="108">Q81+Q84+Q86+Q88+Q93+Q97+Q101+Q104+Q106+Q110+Q113</f>
        <v>0</v>
      </c>
      <c r="R80" s="19">
        <f t="shared" ref="R80" si="109">S80+V80+Y80</f>
        <v>0</v>
      </c>
      <c r="S80" s="19">
        <f t="shared" ref="S80" si="110">O80+T80-U80</f>
        <v>0</v>
      </c>
      <c r="T80" s="25">
        <v>0</v>
      </c>
      <c r="U80" s="25">
        <f>O80</f>
        <v>5784</v>
      </c>
      <c r="V80" s="19">
        <f t="shared" ref="V80" si="111">P80+W80-X80</f>
        <v>0</v>
      </c>
      <c r="W80" s="25">
        <v>0</v>
      </c>
      <c r="X80" s="25">
        <f>P80</f>
        <v>500</v>
      </c>
      <c r="Y80" s="25">
        <f t="shared" ref="Y80" si="112">Q80</f>
        <v>0</v>
      </c>
      <c r="Z80" s="25"/>
      <c r="AA80" s="38">
        <f t="shared" si="44"/>
        <v>29990</v>
      </c>
      <c r="AB80" s="39">
        <v>27266</v>
      </c>
      <c r="AC80" s="40">
        <v>2724</v>
      </c>
      <c r="AD80" s="38">
        <f t="shared" si="105"/>
        <v>0</v>
      </c>
    </row>
    <row r="81" spans="15:17" s="49" customFormat="1" x14ac:dyDescent="0.2"/>
    <row r="82" spans="15:17" s="49" customFormat="1" x14ac:dyDescent="0.2"/>
    <row r="83" spans="15:17" s="49" customFormat="1" x14ac:dyDescent="0.2"/>
    <row r="84" spans="15:17" s="49" customFormat="1" x14ac:dyDescent="0.2"/>
    <row r="85" spans="15:17" s="49" customFormat="1" x14ac:dyDescent="0.2"/>
    <row r="86" spans="15:17" s="49" customFormat="1" x14ac:dyDescent="0.2"/>
    <row r="87" spans="15:17" x14ac:dyDescent="0.2">
      <c r="O87" s="16"/>
      <c r="P87" s="16"/>
      <c r="Q87" s="1"/>
    </row>
    <row r="88" spans="15:17" x14ac:dyDescent="0.2">
      <c r="O88" s="16"/>
      <c r="P88" s="16"/>
      <c r="Q88" s="1"/>
    </row>
    <row r="89" spans="15:17" x14ac:dyDescent="0.2">
      <c r="O89" s="16"/>
      <c r="P89" s="16"/>
      <c r="Q89" s="1"/>
    </row>
    <row r="90" spans="15:17" x14ac:dyDescent="0.2">
      <c r="O90" s="16"/>
      <c r="P90" s="16"/>
      <c r="Q90" s="1"/>
    </row>
  </sheetData>
  <mergeCells count="43">
    <mergeCell ref="Z4:Z7"/>
    <mergeCell ref="B32:F32"/>
    <mergeCell ref="H6:H7"/>
    <mergeCell ref="I6:I7"/>
    <mergeCell ref="G5:G7"/>
    <mergeCell ref="F4:F7"/>
    <mergeCell ref="B20:F20"/>
    <mergeCell ref="O6:O7"/>
    <mergeCell ref="P6:P7"/>
    <mergeCell ref="Q6:Q7"/>
    <mergeCell ref="J5:J7"/>
    <mergeCell ref="K6:K7"/>
    <mergeCell ref="L6:L7"/>
    <mergeCell ref="M6:M7"/>
    <mergeCell ref="A8:B8"/>
    <mergeCell ref="O5:Q5"/>
    <mergeCell ref="A4:A7"/>
    <mergeCell ref="B4:B7"/>
    <mergeCell ref="C4:C7"/>
    <mergeCell ref="D4:D7"/>
    <mergeCell ref="E4:E7"/>
    <mergeCell ref="V6:X6"/>
    <mergeCell ref="S6:U6"/>
    <mergeCell ref="S5:Y5"/>
    <mergeCell ref="R5:R7"/>
    <mergeCell ref="N5:N7"/>
    <mergeCell ref="Y6:Y7"/>
    <mergeCell ref="B79:F79"/>
    <mergeCell ref="B80:F80"/>
    <mergeCell ref="A1:Y1"/>
    <mergeCell ref="H5:I5"/>
    <mergeCell ref="J4:M4"/>
    <mergeCell ref="K5:M5"/>
    <mergeCell ref="A2:W2"/>
    <mergeCell ref="K3:L3"/>
    <mergeCell ref="T3:W3"/>
    <mergeCell ref="G4:I4"/>
    <mergeCell ref="N4:Q4"/>
    <mergeCell ref="B37:F37"/>
    <mergeCell ref="B36:F36"/>
    <mergeCell ref="R4:Y4"/>
    <mergeCell ref="B30:F30"/>
    <mergeCell ref="B9:F9"/>
  </mergeCells>
  <pageMargins left="0" right="0" top="0.5" bottom="0.25" header="0.3" footer="0.3"/>
  <pageSetup paperSize="9" scale="72" fitToWidth="0" fitToHeight="0" orientation="landscape" verticalDpi="0" r:id="rId1"/>
  <headerFooter>
    <oddFooter>&amp;CTrang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DTTS</vt:lpstr>
      <vt:lpstr>DTTS!Print_Area</vt:lpstr>
      <vt:lpstr>DTTS!Print_Titles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21AK22</cp:lastModifiedBy>
  <cp:lastPrinted>2024-10-29T09:17:52Z</cp:lastPrinted>
  <dcterms:created xsi:type="dcterms:W3CDTF">2022-06-07T12:11:02Z</dcterms:created>
  <dcterms:modified xsi:type="dcterms:W3CDTF">2024-11-03T01:13:10Z</dcterms:modified>
</cp:coreProperties>
</file>