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425" tabRatio="732"/>
  </bookViews>
  <sheets>
    <sheet name="TH các dự án 2021-2025" sheetId="4" r:id="rId1"/>
    <sheet name="KH 2023" sheetId="17" state="hidden" r:id="rId2"/>
    <sheet name="Sheet1" sheetId="18" r:id="rId3"/>
  </sheets>
  <definedNames>
    <definedName name="_xlnm._FilterDatabase" localSheetId="1" hidden="1">'KH 2023'!$A$5:$K$77</definedName>
    <definedName name="_xlnm.Print_Area" localSheetId="1">'KH 2023'!$A$1:$K$76</definedName>
    <definedName name="_xlnm.Print_Area" localSheetId="0">'TH các dự án 2021-2025'!$A$1:$W$194</definedName>
    <definedName name="_xlnm.Print_Titles" localSheetId="1">'KH 2023'!$5:$9</definedName>
    <definedName name="_xlnm.Print_Titles" localSheetId="0">'TH các dự án 2021-2025'!$5:$9</definedName>
  </definedNames>
  <calcPr calcId="144525"/>
  <fileRecoveryPr autoRecover="0"/>
</workbook>
</file>

<file path=xl/calcChain.xml><?xml version="1.0" encoding="utf-8"?>
<calcChain xmlns="http://schemas.openxmlformats.org/spreadsheetml/2006/main">
  <c r="R187" i="4" l="1"/>
  <c r="J187" i="4" l="1"/>
  <c r="AR184" i="4"/>
  <c r="AR183" i="4"/>
  <c r="AR186" i="4"/>
  <c r="AR187" i="4"/>
  <c r="AR185" i="4"/>
  <c r="Q191" i="4"/>
  <c r="R191" i="4"/>
  <c r="P191" i="4"/>
  <c r="V189" i="4"/>
  <c r="Q190" i="4"/>
  <c r="R190" i="4"/>
  <c r="P190" i="4"/>
  <c r="P189" i="4" s="1"/>
  <c r="H189" i="4"/>
  <c r="I189" i="4"/>
  <c r="J189" i="4"/>
  <c r="L189" i="4"/>
  <c r="M189" i="4"/>
  <c r="N189" i="4"/>
  <c r="Q189" i="4"/>
  <c r="R189" i="4"/>
  <c r="T189" i="4"/>
  <c r="U189" i="4"/>
  <c r="G189" i="4"/>
  <c r="AD191" i="4"/>
  <c r="O191" i="4"/>
  <c r="K191" i="4"/>
  <c r="G191" i="4"/>
  <c r="AE190" i="4"/>
  <c r="AE191" i="4" s="1"/>
  <c r="AD190" i="4"/>
  <c r="O190" i="4"/>
  <c r="K190" i="4"/>
  <c r="G190" i="4"/>
  <c r="K189" i="4" l="1"/>
  <c r="O189" i="4"/>
  <c r="S191" i="4"/>
  <c r="S190" i="4"/>
  <c r="S189" i="4" s="1"/>
  <c r="H193" i="4" l="1"/>
  <c r="H192" i="4" s="1"/>
  <c r="I193" i="4"/>
  <c r="I192" i="4" s="1"/>
  <c r="J193" i="4"/>
  <c r="L193" i="4"/>
  <c r="L192" i="4" s="1"/>
  <c r="M193" i="4"/>
  <c r="M192" i="4" s="1"/>
  <c r="N193" i="4"/>
  <c r="N192" i="4" s="1"/>
  <c r="T193" i="4"/>
  <c r="U193" i="4"/>
  <c r="U192" i="4" s="1"/>
  <c r="G194" i="4"/>
  <c r="G193" i="4" s="1"/>
  <c r="G192" i="4" s="1"/>
  <c r="J192" i="4"/>
  <c r="T192" i="4"/>
  <c r="R194" i="4"/>
  <c r="R193" i="4" s="1"/>
  <c r="R192" i="4" s="1"/>
  <c r="G188" i="4"/>
  <c r="V188" i="4"/>
  <c r="U188" i="4"/>
  <c r="T188" i="4"/>
  <c r="H184" i="4"/>
  <c r="I184" i="4"/>
  <c r="J184" i="4"/>
  <c r="L184" i="4"/>
  <c r="M184" i="4"/>
  <c r="N184" i="4"/>
  <c r="U185" i="4"/>
  <c r="V185" i="4"/>
  <c r="T185" i="4"/>
  <c r="Q180" i="4"/>
  <c r="R180" i="4"/>
  <c r="P180" i="4"/>
  <c r="Q174" i="4"/>
  <c r="R174" i="4"/>
  <c r="P174" i="4"/>
  <c r="Q170" i="4"/>
  <c r="R170" i="4"/>
  <c r="P170" i="4"/>
  <c r="Q165" i="4"/>
  <c r="R165" i="4"/>
  <c r="P165" i="4"/>
  <c r="Q160" i="4"/>
  <c r="R160" i="4"/>
  <c r="P160" i="4"/>
  <c r="Q152" i="4"/>
  <c r="R152" i="4"/>
  <c r="P152" i="4"/>
  <c r="Q144" i="4"/>
  <c r="R144" i="4"/>
  <c r="P144" i="4"/>
  <c r="V193" i="4" l="1"/>
  <c r="V192" i="4" s="1"/>
  <c r="Q129" i="4"/>
  <c r="R129" i="4"/>
  <c r="P129" i="4"/>
  <c r="Q121" i="4"/>
  <c r="R121" i="4"/>
  <c r="P121" i="4"/>
  <c r="Q113" i="4"/>
  <c r="R113" i="4"/>
  <c r="P113" i="4"/>
  <c r="Q106" i="4"/>
  <c r="R106" i="4"/>
  <c r="P106" i="4"/>
  <c r="Q96" i="4"/>
  <c r="R96" i="4"/>
  <c r="P96" i="4"/>
  <c r="O94" i="4"/>
  <c r="O95" i="4"/>
  <c r="O93" i="4"/>
  <c r="H92" i="4"/>
  <c r="I92" i="4"/>
  <c r="J92" i="4"/>
  <c r="L92" i="4"/>
  <c r="M92" i="4"/>
  <c r="N92" i="4"/>
  <c r="K96" i="4"/>
  <c r="G96" i="4"/>
  <c r="K95" i="4"/>
  <c r="G95" i="4"/>
  <c r="Z95" i="4" s="1"/>
  <c r="AC95" i="4" s="1"/>
  <c r="Q83" i="4"/>
  <c r="R83" i="4"/>
  <c r="P83" i="4"/>
  <c r="O83" i="4"/>
  <c r="X68" i="4"/>
  <c r="Y69" i="4" s="1"/>
  <c r="Q68" i="4"/>
  <c r="R68" i="4"/>
  <c r="P68" i="4"/>
  <c r="O96" i="4" l="1"/>
  <c r="AA95" i="4"/>
  <c r="AD95" i="4" s="1"/>
  <c r="AB95" i="4"/>
  <c r="AE95" i="4" s="1"/>
  <c r="AF95" i="4" l="1"/>
  <c r="V77" i="4" l="1"/>
  <c r="U77" i="4"/>
  <c r="T77" i="4"/>
  <c r="S77" i="4" l="1"/>
  <c r="T68" i="4" l="1"/>
  <c r="U68" i="4"/>
  <c r="V68" i="4"/>
  <c r="U67" i="4"/>
  <c r="V67" i="4"/>
  <c r="T67" i="4"/>
  <c r="H54" i="4"/>
  <c r="I54" i="4"/>
  <c r="J54" i="4"/>
  <c r="L54" i="4"/>
  <c r="M54" i="4"/>
  <c r="N54" i="4"/>
  <c r="P57" i="4"/>
  <c r="U58" i="4"/>
  <c r="U54" i="4" s="1"/>
  <c r="V58" i="4"/>
  <c r="V54" i="4" s="1"/>
  <c r="T58" i="4"/>
  <c r="T54" i="4" s="1"/>
  <c r="O58" i="4"/>
  <c r="K58" i="4"/>
  <c r="G58" i="4"/>
  <c r="T46" i="4"/>
  <c r="Q46" i="4"/>
  <c r="U46" i="4" s="1"/>
  <c r="V47" i="4"/>
  <c r="U47" i="4"/>
  <c r="T47" i="4"/>
  <c r="V45" i="4"/>
  <c r="U45" i="4"/>
  <c r="T45" i="4"/>
  <c r="S58" i="4" l="1"/>
  <c r="Y58" i="4"/>
  <c r="V48" i="4" l="1"/>
  <c r="R48" i="4" s="1"/>
  <c r="V49" i="4"/>
  <c r="R49" i="4" s="1"/>
  <c r="V50" i="4"/>
  <c r="R50" i="4" s="1"/>
  <c r="V51" i="4"/>
  <c r="R51" i="4" s="1"/>
  <c r="V52" i="4"/>
  <c r="R52" i="4" s="1"/>
  <c r="V53" i="4"/>
  <c r="R53" i="4" s="1"/>
  <c r="P26" i="4" l="1"/>
  <c r="T26" i="4" s="1"/>
  <c r="Q26" i="4"/>
  <c r="U26" i="4" s="1"/>
  <c r="R26" i="4"/>
  <c r="V26" i="4" s="1"/>
  <c r="P27" i="4"/>
  <c r="T27" i="4" s="1"/>
  <c r="Q27" i="4"/>
  <c r="U27" i="4" s="1"/>
  <c r="R27" i="4"/>
  <c r="V27" i="4" s="1"/>
  <c r="P28" i="4"/>
  <c r="T28" i="4" s="1"/>
  <c r="Q28" i="4"/>
  <c r="U28" i="4" s="1"/>
  <c r="R28" i="4"/>
  <c r="V28" i="4" s="1"/>
  <c r="T29" i="4"/>
  <c r="Q29" i="4"/>
  <c r="U29" i="4" s="1"/>
  <c r="R29" i="4"/>
  <c r="V29" i="4" s="1"/>
  <c r="P30" i="4"/>
  <c r="T30" i="4" s="1"/>
  <c r="Q30" i="4"/>
  <c r="U30" i="4" s="1"/>
  <c r="R30" i="4"/>
  <c r="V30" i="4" s="1"/>
  <c r="P31" i="4"/>
  <c r="T31" i="4" s="1"/>
  <c r="Q31" i="4"/>
  <c r="U31" i="4" s="1"/>
  <c r="R31" i="4"/>
  <c r="V31" i="4" s="1"/>
  <c r="P32" i="4"/>
  <c r="T32" i="4" s="1"/>
  <c r="Q32" i="4"/>
  <c r="U32" i="4" s="1"/>
  <c r="R32" i="4"/>
  <c r="V32" i="4" s="1"/>
  <c r="P33" i="4"/>
  <c r="T33" i="4" s="1"/>
  <c r="Q33" i="4"/>
  <c r="U33" i="4" s="1"/>
  <c r="R33" i="4"/>
  <c r="V33" i="4" s="1"/>
  <c r="P34" i="4"/>
  <c r="T34" i="4" s="1"/>
  <c r="Q34" i="4"/>
  <c r="U34" i="4" s="1"/>
  <c r="R34" i="4"/>
  <c r="P35" i="4"/>
  <c r="T35" i="4" s="1"/>
  <c r="Q35" i="4"/>
  <c r="U35" i="4" s="1"/>
  <c r="R35" i="4"/>
  <c r="V35" i="4" s="1"/>
  <c r="P36" i="4"/>
  <c r="T36" i="4" s="1"/>
  <c r="Q36" i="4"/>
  <c r="U36" i="4" s="1"/>
  <c r="R36" i="4"/>
  <c r="V36" i="4" s="1"/>
  <c r="P37" i="4"/>
  <c r="T37" i="4" s="1"/>
  <c r="Q37" i="4"/>
  <c r="U37" i="4" s="1"/>
  <c r="R37" i="4"/>
  <c r="V37" i="4" s="1"/>
  <c r="P38" i="4"/>
  <c r="T38" i="4" s="1"/>
  <c r="Q38" i="4"/>
  <c r="U38" i="4" s="1"/>
  <c r="R38" i="4"/>
  <c r="V38" i="4" s="1"/>
  <c r="P39" i="4"/>
  <c r="T39" i="4" s="1"/>
  <c r="Q39" i="4"/>
  <c r="U39" i="4" s="1"/>
  <c r="R39" i="4"/>
  <c r="V39" i="4" s="1"/>
  <c r="P40" i="4"/>
  <c r="T40" i="4" s="1"/>
  <c r="Q40" i="4"/>
  <c r="U40" i="4" s="1"/>
  <c r="R40" i="4"/>
  <c r="V40" i="4" s="1"/>
  <c r="P41" i="4"/>
  <c r="T41" i="4" s="1"/>
  <c r="Q41" i="4"/>
  <c r="R41" i="4"/>
  <c r="Q25" i="4"/>
  <c r="U25" i="4" s="1"/>
  <c r="R25" i="4"/>
  <c r="V25" i="4" s="1"/>
  <c r="P25" i="4"/>
  <c r="T25" i="4" s="1"/>
  <c r="AK27" i="4"/>
  <c r="O34" i="4" l="1"/>
  <c r="V34" i="4"/>
  <c r="O26" i="4"/>
  <c r="O30" i="4"/>
  <c r="O38" i="4"/>
  <c r="O41" i="4"/>
  <c r="O40" i="4"/>
  <c r="O39" i="4"/>
  <c r="O37" i="4"/>
  <c r="O36" i="4"/>
  <c r="O33" i="4"/>
  <c r="O32" i="4"/>
  <c r="O31" i="4"/>
  <c r="O29" i="4"/>
  <c r="O28" i="4"/>
  <c r="O27" i="4"/>
  <c r="O35" i="4"/>
  <c r="O25" i="4"/>
  <c r="L25" i="4"/>
  <c r="M25" i="4"/>
  <c r="N25" i="4"/>
  <c r="L26" i="4"/>
  <c r="M26" i="4"/>
  <c r="N26" i="4"/>
  <c r="H44" i="4" l="1"/>
  <c r="I44" i="4"/>
  <c r="J44" i="4"/>
  <c r="L44" i="4"/>
  <c r="M44" i="4"/>
  <c r="N44" i="4"/>
  <c r="T44" i="4"/>
  <c r="U44" i="4"/>
  <c r="H42" i="4" l="1"/>
  <c r="I42" i="4"/>
  <c r="J42" i="4"/>
  <c r="L42" i="4"/>
  <c r="M42" i="4"/>
  <c r="N42" i="4"/>
  <c r="H24" i="4"/>
  <c r="I24" i="4"/>
  <c r="J24" i="4"/>
  <c r="P24" i="4"/>
  <c r="Q24" i="4"/>
  <c r="R24" i="4"/>
  <c r="T24" i="4"/>
  <c r="U24" i="4"/>
  <c r="V24" i="4"/>
  <c r="K59" i="4" l="1"/>
  <c r="P59" i="4"/>
  <c r="Q59" i="4"/>
  <c r="R59" i="4"/>
  <c r="S59" i="4"/>
  <c r="H183" i="4"/>
  <c r="I183" i="4"/>
  <c r="J183" i="4"/>
  <c r="L183" i="4"/>
  <c r="M183" i="4"/>
  <c r="N183" i="4"/>
  <c r="L28" i="4"/>
  <c r="M28" i="4"/>
  <c r="N28" i="4"/>
  <c r="L29" i="4"/>
  <c r="M29" i="4"/>
  <c r="N29" i="4"/>
  <c r="L30" i="4"/>
  <c r="M30" i="4"/>
  <c r="N30" i="4"/>
  <c r="L31" i="4"/>
  <c r="M31" i="4"/>
  <c r="N31" i="4"/>
  <c r="L32" i="4"/>
  <c r="M32" i="4"/>
  <c r="N32" i="4"/>
  <c r="L33" i="4"/>
  <c r="M33" i="4"/>
  <c r="N33" i="4"/>
  <c r="L34" i="4"/>
  <c r="M34" i="4"/>
  <c r="N34" i="4"/>
  <c r="L35" i="4"/>
  <c r="M35" i="4"/>
  <c r="N35" i="4"/>
  <c r="L36" i="4"/>
  <c r="M36" i="4"/>
  <c r="N36" i="4"/>
  <c r="L37" i="4"/>
  <c r="M37" i="4"/>
  <c r="N37" i="4"/>
  <c r="L38" i="4"/>
  <c r="M38" i="4"/>
  <c r="N38" i="4"/>
  <c r="L39" i="4"/>
  <c r="M39" i="4"/>
  <c r="N39" i="4"/>
  <c r="L40" i="4"/>
  <c r="M40" i="4"/>
  <c r="N40" i="4"/>
  <c r="L41" i="4"/>
  <c r="M41" i="4"/>
  <c r="N41" i="4"/>
  <c r="M27" i="4"/>
  <c r="N27" i="4"/>
  <c r="L27" i="4"/>
  <c r="AG27" i="4"/>
  <c r="L24" i="4" l="1"/>
  <c r="N24" i="4"/>
  <c r="M24" i="4"/>
  <c r="O59" i="4"/>
  <c r="U43" i="4" l="1"/>
  <c r="U42" i="4" s="1"/>
  <c r="V43" i="4"/>
  <c r="V42" i="4" s="1"/>
  <c r="T43" i="4"/>
  <c r="T42" i="4" s="1"/>
  <c r="T14" i="4"/>
  <c r="U14" i="4"/>
  <c r="V14" i="4"/>
  <c r="T15" i="4"/>
  <c r="U15" i="4"/>
  <c r="V15" i="4"/>
  <c r="T16" i="4"/>
  <c r="U16" i="4"/>
  <c r="V16" i="4"/>
  <c r="T17" i="4"/>
  <c r="U17" i="4"/>
  <c r="V17" i="4"/>
  <c r="T18" i="4"/>
  <c r="U18" i="4"/>
  <c r="V18" i="4"/>
  <c r="T19" i="4"/>
  <c r="U19" i="4"/>
  <c r="V19" i="4"/>
  <c r="T20" i="4"/>
  <c r="U20" i="4"/>
  <c r="V20" i="4"/>
  <c r="T21" i="4"/>
  <c r="U21" i="4"/>
  <c r="V21" i="4"/>
  <c r="T22" i="4"/>
  <c r="U22" i="4"/>
  <c r="V22" i="4"/>
  <c r="T23" i="4"/>
  <c r="U23" i="4"/>
  <c r="V23" i="4"/>
  <c r="U13" i="4"/>
  <c r="V13" i="4"/>
  <c r="T13" i="4"/>
  <c r="H181" i="4"/>
  <c r="I181" i="4"/>
  <c r="J181" i="4"/>
  <c r="L181" i="4"/>
  <c r="M181" i="4"/>
  <c r="N181" i="4"/>
  <c r="G182" i="4"/>
  <c r="G181" i="4" s="1"/>
  <c r="G178" i="4"/>
  <c r="K180" i="4"/>
  <c r="K179" i="4" s="1"/>
  <c r="G180" i="4"/>
  <c r="AA180" i="4" s="1"/>
  <c r="AD180" i="4" s="1"/>
  <c r="N179" i="4"/>
  <c r="N176" i="4" s="1"/>
  <c r="N175" i="4" s="1"/>
  <c r="M179" i="4"/>
  <c r="M176" i="4" s="1"/>
  <c r="M175" i="4" s="1"/>
  <c r="L179" i="4"/>
  <c r="L176" i="4" s="1"/>
  <c r="L175" i="4" s="1"/>
  <c r="J179" i="4"/>
  <c r="J176" i="4" s="1"/>
  <c r="J175" i="4" s="1"/>
  <c r="I179" i="4"/>
  <c r="I176" i="4" s="1"/>
  <c r="I175" i="4" s="1"/>
  <c r="H179" i="4"/>
  <c r="H176" i="4" s="1"/>
  <c r="H175" i="4" s="1"/>
  <c r="K174" i="4"/>
  <c r="G174" i="4"/>
  <c r="AA174" i="4" s="1"/>
  <c r="AD174" i="4" s="1"/>
  <c r="N173" i="4"/>
  <c r="N171" i="4" s="1"/>
  <c r="M173" i="4"/>
  <c r="M171" i="4" s="1"/>
  <c r="L173" i="4"/>
  <c r="L171" i="4" s="1"/>
  <c r="J173" i="4"/>
  <c r="J171" i="4" s="1"/>
  <c r="I173" i="4"/>
  <c r="I171" i="4" s="1"/>
  <c r="H173" i="4"/>
  <c r="H171" i="4" s="1"/>
  <c r="K170" i="4"/>
  <c r="G170" i="4"/>
  <c r="AA170" i="4" s="1"/>
  <c r="AD170" i="4" s="1"/>
  <c r="N169" i="4"/>
  <c r="N166" i="4" s="1"/>
  <c r="M169" i="4"/>
  <c r="M166" i="4" s="1"/>
  <c r="L169" i="4"/>
  <c r="L166" i="4" s="1"/>
  <c r="J169" i="4"/>
  <c r="J166" i="4" s="1"/>
  <c r="I169" i="4"/>
  <c r="I166" i="4" s="1"/>
  <c r="H169" i="4"/>
  <c r="H166" i="4" s="1"/>
  <c r="K165" i="4"/>
  <c r="G165" i="4"/>
  <c r="AA165" i="4" s="1"/>
  <c r="AD165" i="4" s="1"/>
  <c r="N164" i="4"/>
  <c r="N161" i="4" s="1"/>
  <c r="M164" i="4"/>
  <c r="M161" i="4" s="1"/>
  <c r="L164" i="4"/>
  <c r="L161" i="4" s="1"/>
  <c r="J164" i="4"/>
  <c r="J161" i="4" s="1"/>
  <c r="I164" i="4"/>
  <c r="I161" i="4" s="1"/>
  <c r="H164" i="4"/>
  <c r="H161" i="4" s="1"/>
  <c r="K160" i="4"/>
  <c r="G160" i="4"/>
  <c r="K159" i="4"/>
  <c r="G159" i="4"/>
  <c r="AA159" i="4" s="1"/>
  <c r="AD159" i="4" s="1"/>
  <c r="N158" i="4"/>
  <c r="N153" i="4" s="1"/>
  <c r="M158" i="4"/>
  <c r="M153" i="4" s="1"/>
  <c r="L158" i="4"/>
  <c r="L153" i="4" s="1"/>
  <c r="J158" i="4"/>
  <c r="J153" i="4" s="1"/>
  <c r="I158" i="4"/>
  <c r="I153" i="4" s="1"/>
  <c r="H158" i="4"/>
  <c r="H153" i="4" s="1"/>
  <c r="K152" i="4"/>
  <c r="G152" i="4"/>
  <c r="AA152" i="4" s="1"/>
  <c r="AD152" i="4" s="1"/>
  <c r="N151" i="4"/>
  <c r="N145" i="4" s="1"/>
  <c r="M151" i="4"/>
  <c r="M145" i="4" s="1"/>
  <c r="L151" i="4"/>
  <c r="L145" i="4" s="1"/>
  <c r="J151" i="4"/>
  <c r="J145" i="4" s="1"/>
  <c r="I151" i="4"/>
  <c r="I145" i="4" s="1"/>
  <c r="H151" i="4"/>
  <c r="H145" i="4" s="1"/>
  <c r="K144" i="4"/>
  <c r="G144" i="4"/>
  <c r="AA144" i="4" s="1"/>
  <c r="AD144" i="4" s="1"/>
  <c r="N143" i="4"/>
  <c r="N137" i="4" s="1"/>
  <c r="M143" i="4"/>
  <c r="M137" i="4" s="1"/>
  <c r="L143" i="4"/>
  <c r="L137" i="4" s="1"/>
  <c r="J143" i="4"/>
  <c r="J137" i="4" s="1"/>
  <c r="I143" i="4"/>
  <c r="I137" i="4" s="1"/>
  <c r="H143" i="4"/>
  <c r="H137" i="4" s="1"/>
  <c r="G134" i="4"/>
  <c r="G135" i="4"/>
  <c r="N130" i="4"/>
  <c r="M130" i="4"/>
  <c r="L130" i="4"/>
  <c r="J130" i="4"/>
  <c r="I130" i="4"/>
  <c r="H130" i="4"/>
  <c r="K129" i="4"/>
  <c r="G129" i="4"/>
  <c r="K128" i="4"/>
  <c r="G128" i="4"/>
  <c r="AA128" i="4" s="1"/>
  <c r="AD128" i="4" s="1"/>
  <c r="N127" i="4"/>
  <c r="N122" i="4" s="1"/>
  <c r="M127" i="4"/>
  <c r="M122" i="4" s="1"/>
  <c r="L127" i="4"/>
  <c r="L122" i="4" s="1"/>
  <c r="J127" i="4"/>
  <c r="J122" i="4" s="1"/>
  <c r="I127" i="4"/>
  <c r="I122" i="4" s="1"/>
  <c r="H127" i="4"/>
  <c r="H122" i="4" s="1"/>
  <c r="K121" i="4"/>
  <c r="G121" i="4"/>
  <c r="K120" i="4"/>
  <c r="G120" i="4"/>
  <c r="AA120" i="4" s="1"/>
  <c r="AD120" i="4" s="1"/>
  <c r="N119" i="4"/>
  <c r="N114" i="4" s="1"/>
  <c r="M119" i="4"/>
  <c r="M114" i="4" s="1"/>
  <c r="L119" i="4"/>
  <c r="L114" i="4" s="1"/>
  <c r="J119" i="4"/>
  <c r="J114" i="4" s="1"/>
  <c r="I119" i="4"/>
  <c r="I114" i="4" s="1"/>
  <c r="H119" i="4"/>
  <c r="H114" i="4" s="1"/>
  <c r="K113" i="4"/>
  <c r="G113" i="4"/>
  <c r="AA113" i="4" s="1"/>
  <c r="AD113" i="4" s="1"/>
  <c r="N112" i="4"/>
  <c r="N107" i="4" s="1"/>
  <c r="M112" i="4"/>
  <c r="M107" i="4" s="1"/>
  <c r="L112" i="4"/>
  <c r="L107" i="4" s="1"/>
  <c r="J112" i="4"/>
  <c r="J107" i="4" s="1"/>
  <c r="I112" i="4"/>
  <c r="I107" i="4" s="1"/>
  <c r="H112" i="4"/>
  <c r="H107" i="4" s="1"/>
  <c r="K106" i="4"/>
  <c r="G106" i="4"/>
  <c r="AA106" i="4" s="1"/>
  <c r="AD106" i="4" s="1"/>
  <c r="N105" i="4"/>
  <c r="N102" i="4" s="1"/>
  <c r="M105" i="4"/>
  <c r="M102" i="4" s="1"/>
  <c r="L105" i="4"/>
  <c r="L102" i="4" s="1"/>
  <c r="J105" i="4"/>
  <c r="J102" i="4" s="1"/>
  <c r="I105" i="4"/>
  <c r="I102" i="4" s="1"/>
  <c r="H105" i="4"/>
  <c r="H102" i="4" s="1"/>
  <c r="H66" i="4"/>
  <c r="H63" i="4" s="1"/>
  <c r="I66" i="4"/>
  <c r="I63" i="4" s="1"/>
  <c r="J66" i="4"/>
  <c r="J63" i="4" s="1"/>
  <c r="L66" i="4"/>
  <c r="L63" i="4" s="1"/>
  <c r="M66" i="4"/>
  <c r="M63" i="4" s="1"/>
  <c r="N66" i="4"/>
  <c r="N63" i="4" s="1"/>
  <c r="H76" i="4"/>
  <c r="H69" i="4" s="1"/>
  <c r="I76" i="4"/>
  <c r="I69" i="4" s="1"/>
  <c r="J76" i="4"/>
  <c r="J69" i="4" s="1"/>
  <c r="L76" i="4"/>
  <c r="L69" i="4" s="1"/>
  <c r="M76" i="4"/>
  <c r="M69" i="4" s="1"/>
  <c r="N76" i="4"/>
  <c r="N69" i="4" s="1"/>
  <c r="T76" i="4"/>
  <c r="T69" i="4" s="1"/>
  <c r="U76" i="4"/>
  <c r="U69" i="4" s="1"/>
  <c r="V76" i="4"/>
  <c r="V69" i="4" s="1"/>
  <c r="H82" i="4"/>
  <c r="H78" i="4" s="1"/>
  <c r="I82" i="4"/>
  <c r="I78" i="4" s="1"/>
  <c r="J82" i="4"/>
  <c r="J78" i="4" s="1"/>
  <c r="L82" i="4"/>
  <c r="L78" i="4" s="1"/>
  <c r="M82" i="4"/>
  <c r="M78" i="4" s="1"/>
  <c r="N82" i="4"/>
  <c r="N78" i="4" s="1"/>
  <c r="K101" i="4"/>
  <c r="G101" i="4"/>
  <c r="AA101" i="4" s="1"/>
  <c r="AD101" i="4" s="1"/>
  <c r="N100" i="4"/>
  <c r="N98" i="4" s="1"/>
  <c r="M100" i="4"/>
  <c r="M98" i="4" s="1"/>
  <c r="L100" i="4"/>
  <c r="L98" i="4" s="1"/>
  <c r="J100" i="4"/>
  <c r="J98" i="4" s="1"/>
  <c r="I100" i="4"/>
  <c r="I98" i="4" s="1"/>
  <c r="H100" i="4"/>
  <c r="H98" i="4" s="1"/>
  <c r="H84" i="4"/>
  <c r="I84" i="4"/>
  <c r="J84" i="4"/>
  <c r="L84" i="4"/>
  <c r="M84" i="4"/>
  <c r="N84" i="4"/>
  <c r="K94" i="4"/>
  <c r="G94" i="4"/>
  <c r="K93" i="4"/>
  <c r="G93" i="4"/>
  <c r="K83" i="4"/>
  <c r="G83" i="4"/>
  <c r="AA83" i="4" s="1"/>
  <c r="AD83" i="4" s="1"/>
  <c r="K77" i="4"/>
  <c r="G77" i="4"/>
  <c r="AA77" i="4" s="1"/>
  <c r="AD77" i="4" s="1"/>
  <c r="G68" i="4"/>
  <c r="G65" i="4"/>
  <c r="S68" i="4"/>
  <c r="K68" i="4"/>
  <c r="K67" i="4"/>
  <c r="G67" i="4"/>
  <c r="AA67" i="4" s="1"/>
  <c r="AD67" i="4" s="1"/>
  <c r="S150" i="4"/>
  <c r="R150" i="4"/>
  <c r="Q150" i="4"/>
  <c r="P150" i="4"/>
  <c r="K150" i="4"/>
  <c r="G150" i="4"/>
  <c r="S91" i="4"/>
  <c r="R91" i="4"/>
  <c r="Q91" i="4"/>
  <c r="P91" i="4"/>
  <c r="K91" i="4"/>
  <c r="G91" i="4"/>
  <c r="G92" i="4" l="1"/>
  <c r="K92" i="4"/>
  <c r="AA93" i="4"/>
  <c r="AD93" i="4" s="1"/>
  <c r="G173" i="4"/>
  <c r="I97" i="4"/>
  <c r="J97" i="4"/>
  <c r="L97" i="4"/>
  <c r="H97" i="4"/>
  <c r="G169" i="4"/>
  <c r="AB174" i="4"/>
  <c r="AE174" i="4" s="1"/>
  <c r="G179" i="4"/>
  <c r="M97" i="4"/>
  <c r="L62" i="4"/>
  <c r="J62" i="4"/>
  <c r="M62" i="4"/>
  <c r="H62" i="4"/>
  <c r="I62" i="4"/>
  <c r="AB180" i="4"/>
  <c r="AE180" i="4" s="1"/>
  <c r="AB170" i="4"/>
  <c r="AE170" i="4" s="1"/>
  <c r="K173" i="4"/>
  <c r="N97" i="4"/>
  <c r="N62" i="4"/>
  <c r="G164" i="4"/>
  <c r="Z180" i="4"/>
  <c r="AC180" i="4" s="1"/>
  <c r="AB165" i="4"/>
  <c r="AE165" i="4" s="1"/>
  <c r="K169" i="4"/>
  <c r="G158" i="4"/>
  <c r="K158" i="4"/>
  <c r="AB152" i="4"/>
  <c r="AE152" i="4" s="1"/>
  <c r="AB159" i="4"/>
  <c r="AE159" i="4" s="1"/>
  <c r="Z174" i="4"/>
  <c r="AC174" i="4" s="1"/>
  <c r="K164" i="4"/>
  <c r="G143" i="4"/>
  <c r="Z170" i="4"/>
  <c r="AC170" i="4" s="1"/>
  <c r="Z165" i="4"/>
  <c r="AC165" i="4" s="1"/>
  <c r="AB144" i="4"/>
  <c r="AE144" i="4" s="1"/>
  <c r="K151" i="4"/>
  <c r="G151" i="4"/>
  <c r="K112" i="4"/>
  <c r="Z159" i="4"/>
  <c r="AC159" i="4" s="1"/>
  <c r="K143" i="4"/>
  <c r="G127" i="4"/>
  <c r="G119" i="4"/>
  <c r="AB120" i="4"/>
  <c r="AE120" i="4" s="1"/>
  <c r="Z152" i="4"/>
  <c r="AC152" i="4" s="1"/>
  <c r="K127" i="4"/>
  <c r="AB128" i="4"/>
  <c r="AE128" i="4" s="1"/>
  <c r="Z144" i="4"/>
  <c r="AC144" i="4" s="1"/>
  <c r="R76" i="4"/>
  <c r="K119" i="4"/>
  <c r="Z128" i="4"/>
  <c r="AC128" i="4" s="1"/>
  <c r="K105" i="4"/>
  <c r="K82" i="4"/>
  <c r="Z120" i="4"/>
  <c r="AC120" i="4" s="1"/>
  <c r="G112" i="4"/>
  <c r="G105" i="4"/>
  <c r="AB106" i="4"/>
  <c r="AE106" i="4" s="1"/>
  <c r="AB113" i="4"/>
  <c r="AE113" i="4" s="1"/>
  <c r="Q76" i="4"/>
  <c r="K76" i="4"/>
  <c r="K100" i="4"/>
  <c r="G100" i="4"/>
  <c r="P76" i="4"/>
  <c r="Z113" i="4"/>
  <c r="AC113" i="4" s="1"/>
  <c r="K66" i="4"/>
  <c r="G66" i="4"/>
  <c r="S76" i="4"/>
  <c r="G82" i="4"/>
  <c r="AB93" i="4"/>
  <c r="AE93" i="4" s="1"/>
  <c r="G76" i="4"/>
  <c r="AB101" i="4"/>
  <c r="AE101" i="4" s="1"/>
  <c r="Z106" i="4"/>
  <c r="AC106" i="4" s="1"/>
  <c r="AB83" i="4"/>
  <c r="AE83" i="4" s="1"/>
  <c r="Z101" i="4"/>
  <c r="AC101" i="4" s="1"/>
  <c r="O77" i="4"/>
  <c r="AB77" i="4"/>
  <c r="AE77" i="4" s="1"/>
  <c r="Z93" i="4"/>
  <c r="AC93" i="4" s="1"/>
  <c r="Z83" i="4"/>
  <c r="AC83" i="4" s="1"/>
  <c r="Z77" i="4"/>
  <c r="AC77" i="4" s="1"/>
  <c r="AB67" i="4"/>
  <c r="AE67" i="4" s="1"/>
  <c r="Z67" i="4"/>
  <c r="AC67" i="4" s="1"/>
  <c r="O91" i="4"/>
  <c r="O150" i="4"/>
  <c r="I61" i="4" l="1"/>
  <c r="I60" i="4" s="1"/>
  <c r="L61" i="4"/>
  <c r="L60" i="4" s="1"/>
  <c r="AF113" i="4"/>
  <c r="AF174" i="4"/>
  <c r="J61" i="4"/>
  <c r="J60" i="4" s="1"/>
  <c r="M61" i="4"/>
  <c r="M60" i="4" s="1"/>
  <c r="H61" i="4"/>
  <c r="H60" i="4" s="1"/>
  <c r="AF152" i="4"/>
  <c r="AF165" i="4"/>
  <c r="AF170" i="4"/>
  <c r="AF180" i="4"/>
  <c r="N61" i="4"/>
  <c r="N60" i="4" s="1"/>
  <c r="AF159" i="4"/>
  <c r="AF120" i="4"/>
  <c r="AF144" i="4"/>
  <c r="AF128" i="4"/>
  <c r="AF106" i="4"/>
  <c r="AF93" i="4"/>
  <c r="AF101" i="4"/>
  <c r="AF83" i="4"/>
  <c r="O76" i="4"/>
  <c r="AF67" i="4"/>
  <c r="AF77" i="4"/>
  <c r="P14" i="4"/>
  <c r="Q14" i="4"/>
  <c r="R14" i="4"/>
  <c r="P15" i="4"/>
  <c r="Q15" i="4"/>
  <c r="R15" i="4"/>
  <c r="P16" i="4"/>
  <c r="Q16" i="4"/>
  <c r="R16" i="4"/>
  <c r="P17" i="4"/>
  <c r="Q17" i="4"/>
  <c r="R17" i="4"/>
  <c r="P18" i="4"/>
  <c r="Q18" i="4"/>
  <c r="R18" i="4"/>
  <c r="P19" i="4"/>
  <c r="Q19" i="4"/>
  <c r="R19" i="4"/>
  <c r="P20" i="4"/>
  <c r="Q20" i="4"/>
  <c r="R20" i="4"/>
  <c r="P21" i="4"/>
  <c r="Q21" i="4"/>
  <c r="R21" i="4"/>
  <c r="P22" i="4"/>
  <c r="Q22" i="4"/>
  <c r="R22" i="4"/>
  <c r="P23" i="4"/>
  <c r="Q23" i="4"/>
  <c r="R23" i="4"/>
  <c r="P43" i="4"/>
  <c r="P42" i="4" s="1"/>
  <c r="Q43" i="4"/>
  <c r="Q42" i="4" s="1"/>
  <c r="R43" i="4"/>
  <c r="R42" i="4" s="1"/>
  <c r="P48" i="4"/>
  <c r="Q48" i="4"/>
  <c r="P49" i="4"/>
  <c r="Q49" i="4"/>
  <c r="P50" i="4"/>
  <c r="Q50" i="4"/>
  <c r="P51" i="4"/>
  <c r="Q51" i="4"/>
  <c r="P52" i="4"/>
  <c r="Q52" i="4"/>
  <c r="P53" i="4"/>
  <c r="Q53" i="4"/>
  <c r="P55" i="4"/>
  <c r="Q55" i="4"/>
  <c r="R55" i="4"/>
  <c r="P56" i="4"/>
  <c r="Q56" i="4"/>
  <c r="R56" i="4"/>
  <c r="Q57" i="4"/>
  <c r="R57" i="4"/>
  <c r="P64" i="4"/>
  <c r="Q64" i="4"/>
  <c r="R64" i="4"/>
  <c r="P65" i="4"/>
  <c r="Q65" i="4"/>
  <c r="R65" i="4"/>
  <c r="P70" i="4"/>
  <c r="Q70" i="4"/>
  <c r="R70" i="4"/>
  <c r="P71" i="4"/>
  <c r="Q71" i="4"/>
  <c r="R71" i="4"/>
  <c r="P72" i="4"/>
  <c r="Q72" i="4"/>
  <c r="R72" i="4"/>
  <c r="P73" i="4"/>
  <c r="Q73" i="4"/>
  <c r="R73" i="4"/>
  <c r="P74" i="4"/>
  <c r="Q74" i="4"/>
  <c r="R74" i="4"/>
  <c r="P75" i="4"/>
  <c r="Q75" i="4"/>
  <c r="R75" i="4"/>
  <c r="P79" i="4"/>
  <c r="Q79" i="4"/>
  <c r="R79" i="4"/>
  <c r="P80" i="4"/>
  <c r="Q80" i="4"/>
  <c r="R80" i="4"/>
  <c r="P81" i="4"/>
  <c r="Q81" i="4"/>
  <c r="R81" i="4"/>
  <c r="P85" i="4"/>
  <c r="Q85" i="4"/>
  <c r="R85" i="4"/>
  <c r="P86" i="4"/>
  <c r="Q86" i="4"/>
  <c r="R86" i="4"/>
  <c r="P87" i="4"/>
  <c r="Q87" i="4"/>
  <c r="R87" i="4"/>
  <c r="P88" i="4"/>
  <c r="Q88" i="4"/>
  <c r="R88" i="4"/>
  <c r="P89" i="4"/>
  <c r="Q89" i="4"/>
  <c r="R89" i="4"/>
  <c r="P90" i="4"/>
  <c r="Q90" i="4"/>
  <c r="R90" i="4"/>
  <c r="P99" i="4"/>
  <c r="P98" i="4" s="1"/>
  <c r="Q99" i="4"/>
  <c r="Q98" i="4" s="1"/>
  <c r="R99" i="4"/>
  <c r="R98" i="4" s="1"/>
  <c r="P103" i="4"/>
  <c r="Q103" i="4"/>
  <c r="R103" i="4"/>
  <c r="P104" i="4"/>
  <c r="Q104" i="4"/>
  <c r="R104" i="4"/>
  <c r="P108" i="4"/>
  <c r="Q108" i="4"/>
  <c r="R108" i="4"/>
  <c r="P109" i="4"/>
  <c r="Q109" i="4"/>
  <c r="R109" i="4"/>
  <c r="P110" i="4"/>
  <c r="Q110" i="4"/>
  <c r="R110" i="4"/>
  <c r="P111" i="4"/>
  <c r="Q111" i="4"/>
  <c r="R111" i="4"/>
  <c r="P115" i="4"/>
  <c r="Q115" i="4"/>
  <c r="R115" i="4"/>
  <c r="P116" i="4"/>
  <c r="Q116" i="4"/>
  <c r="R116" i="4"/>
  <c r="P117" i="4"/>
  <c r="Q117" i="4"/>
  <c r="R117" i="4"/>
  <c r="P118" i="4"/>
  <c r="Q118" i="4"/>
  <c r="R118" i="4"/>
  <c r="P123" i="4"/>
  <c r="Q123" i="4"/>
  <c r="R123" i="4"/>
  <c r="P124" i="4"/>
  <c r="Q124" i="4"/>
  <c r="R124" i="4"/>
  <c r="P125" i="4"/>
  <c r="Q125" i="4"/>
  <c r="R125" i="4"/>
  <c r="P126" i="4"/>
  <c r="Q126" i="4"/>
  <c r="R126" i="4"/>
  <c r="P131" i="4"/>
  <c r="Q131" i="4"/>
  <c r="R131" i="4"/>
  <c r="P132" i="4"/>
  <c r="Q132" i="4"/>
  <c r="R132" i="4"/>
  <c r="P133" i="4"/>
  <c r="Q133" i="4"/>
  <c r="R133" i="4"/>
  <c r="P134" i="4"/>
  <c r="Q134" i="4"/>
  <c r="R134" i="4"/>
  <c r="P135" i="4"/>
  <c r="Q135" i="4"/>
  <c r="R135" i="4"/>
  <c r="P138" i="4"/>
  <c r="Q138" i="4"/>
  <c r="R138" i="4"/>
  <c r="P139" i="4"/>
  <c r="Q139" i="4"/>
  <c r="R139" i="4"/>
  <c r="P140" i="4"/>
  <c r="Q140" i="4"/>
  <c r="R140" i="4"/>
  <c r="P141" i="4"/>
  <c r="Q141" i="4"/>
  <c r="R141" i="4"/>
  <c r="P142" i="4"/>
  <c r="Q142" i="4"/>
  <c r="R142" i="4"/>
  <c r="P146" i="4"/>
  <c r="Q146" i="4"/>
  <c r="R146" i="4"/>
  <c r="P147" i="4"/>
  <c r="Q147" i="4"/>
  <c r="R147" i="4"/>
  <c r="P148" i="4"/>
  <c r="Q148" i="4"/>
  <c r="R148" i="4"/>
  <c r="P149" i="4"/>
  <c r="Q149" i="4"/>
  <c r="R149" i="4"/>
  <c r="P154" i="4"/>
  <c r="Q154" i="4"/>
  <c r="R154" i="4"/>
  <c r="P155" i="4"/>
  <c r="Q155" i="4"/>
  <c r="R155" i="4"/>
  <c r="P156" i="4"/>
  <c r="Q156" i="4"/>
  <c r="R156" i="4"/>
  <c r="P157" i="4"/>
  <c r="Q157" i="4"/>
  <c r="R157" i="4"/>
  <c r="P162" i="4"/>
  <c r="Q162" i="4"/>
  <c r="R162" i="4"/>
  <c r="P163" i="4"/>
  <c r="Q163" i="4"/>
  <c r="R163" i="4"/>
  <c r="P167" i="4"/>
  <c r="Q167" i="4"/>
  <c r="R167" i="4"/>
  <c r="P168" i="4"/>
  <c r="Q168" i="4"/>
  <c r="R168" i="4"/>
  <c r="P172" i="4"/>
  <c r="Q172" i="4"/>
  <c r="R172" i="4"/>
  <c r="P177" i="4"/>
  <c r="Q177" i="4"/>
  <c r="R177" i="4"/>
  <c r="P178" i="4"/>
  <c r="Q178" i="4"/>
  <c r="R178" i="4"/>
  <c r="P182" i="4"/>
  <c r="P181" i="4" s="1"/>
  <c r="Q182" i="4"/>
  <c r="Q181" i="4" s="1"/>
  <c r="R182" i="4"/>
  <c r="R181" i="4" s="1"/>
  <c r="P194" i="4"/>
  <c r="P193" i="4" s="1"/>
  <c r="P192" i="4" s="1"/>
  <c r="Q194" i="4"/>
  <c r="Q193" i="4" s="1"/>
  <c r="Q192" i="4" s="1"/>
  <c r="R13" i="4"/>
  <c r="Q13" i="4"/>
  <c r="P13" i="4"/>
  <c r="S14" i="4"/>
  <c r="S15" i="4"/>
  <c r="S16" i="4"/>
  <c r="S17" i="4"/>
  <c r="S18" i="4"/>
  <c r="S19" i="4"/>
  <c r="S20" i="4"/>
  <c r="S21" i="4"/>
  <c r="S22" i="4"/>
  <c r="S23" i="4"/>
  <c r="S25" i="4"/>
  <c r="S26" i="4"/>
  <c r="S27" i="4"/>
  <c r="S28" i="4"/>
  <c r="S29" i="4"/>
  <c r="S30" i="4"/>
  <c r="S31" i="4"/>
  <c r="S32" i="4"/>
  <c r="S33" i="4"/>
  <c r="S34" i="4"/>
  <c r="S35" i="4"/>
  <c r="S36" i="4"/>
  <c r="S37" i="4"/>
  <c r="S38" i="4"/>
  <c r="S39" i="4"/>
  <c r="S40" i="4"/>
  <c r="S41" i="4"/>
  <c r="S43" i="4"/>
  <c r="S42" i="4" s="1"/>
  <c r="S47" i="4"/>
  <c r="S48" i="4"/>
  <c r="S49" i="4"/>
  <c r="S50" i="4"/>
  <c r="S51" i="4"/>
  <c r="S52" i="4"/>
  <c r="S53" i="4"/>
  <c r="S55" i="4"/>
  <c r="S56" i="4"/>
  <c r="S57" i="4"/>
  <c r="S64" i="4"/>
  <c r="S65" i="4"/>
  <c r="S70" i="4"/>
  <c r="S71" i="4"/>
  <c r="S72" i="4"/>
  <c r="S73" i="4"/>
  <c r="S74" i="4"/>
  <c r="S75" i="4"/>
  <c r="S79" i="4"/>
  <c r="S80" i="4"/>
  <c r="S81" i="4"/>
  <c r="S85" i="4"/>
  <c r="S86" i="4"/>
  <c r="S87" i="4"/>
  <c r="S88" i="4"/>
  <c r="S89" i="4"/>
  <c r="S90" i="4"/>
  <c r="S99" i="4"/>
  <c r="S103" i="4"/>
  <c r="S104" i="4"/>
  <c r="S108" i="4"/>
  <c r="S109" i="4"/>
  <c r="S110" i="4"/>
  <c r="S111" i="4"/>
  <c r="S115" i="4"/>
  <c r="S116" i="4"/>
  <c r="S117" i="4"/>
  <c r="S118" i="4"/>
  <c r="S123" i="4"/>
  <c r="S124" i="4"/>
  <c r="S125" i="4"/>
  <c r="S126" i="4"/>
  <c r="S131" i="4"/>
  <c r="S132" i="4"/>
  <c r="S133" i="4"/>
  <c r="S134" i="4"/>
  <c r="S135" i="4"/>
  <c r="S138" i="4"/>
  <c r="S139" i="4"/>
  <c r="S140" i="4"/>
  <c r="S141" i="4"/>
  <c r="S142" i="4"/>
  <c r="S146" i="4"/>
  <c r="S147" i="4"/>
  <c r="S148" i="4"/>
  <c r="S149" i="4"/>
  <c r="S154" i="4"/>
  <c r="S155" i="4"/>
  <c r="S156" i="4"/>
  <c r="S157" i="4"/>
  <c r="S162" i="4"/>
  <c r="S163" i="4"/>
  <c r="S167" i="4"/>
  <c r="S168" i="4"/>
  <c r="S172" i="4"/>
  <c r="S177" i="4"/>
  <c r="S178" i="4"/>
  <c r="S182" i="4"/>
  <c r="S181" i="4" s="1"/>
  <c r="S185" i="4"/>
  <c r="S188" i="4"/>
  <c r="S194" i="4"/>
  <c r="S193" i="4" s="1"/>
  <c r="S192" i="4" s="1"/>
  <c r="S13" i="4"/>
  <c r="L12" i="4"/>
  <c r="M12" i="4"/>
  <c r="N12" i="4"/>
  <c r="T12" i="4"/>
  <c r="U12" i="4"/>
  <c r="V12" i="4"/>
  <c r="K14" i="4"/>
  <c r="K15" i="4"/>
  <c r="K16" i="4"/>
  <c r="K17" i="4"/>
  <c r="K18" i="4"/>
  <c r="K19" i="4"/>
  <c r="K20" i="4"/>
  <c r="K21" i="4"/>
  <c r="K22" i="4"/>
  <c r="K23" i="4"/>
  <c r="K25" i="4"/>
  <c r="K26" i="4"/>
  <c r="K27" i="4"/>
  <c r="K28" i="4"/>
  <c r="K29" i="4"/>
  <c r="K30" i="4"/>
  <c r="K31" i="4"/>
  <c r="K32" i="4"/>
  <c r="K33" i="4"/>
  <c r="K34" i="4"/>
  <c r="K35" i="4"/>
  <c r="K36" i="4"/>
  <c r="K37" i="4"/>
  <c r="K38" i="4"/>
  <c r="K39" i="4"/>
  <c r="K40" i="4"/>
  <c r="K41" i="4"/>
  <c r="K43" i="4"/>
  <c r="K42" i="4" s="1"/>
  <c r="K45" i="4"/>
  <c r="K46" i="4"/>
  <c r="K47" i="4"/>
  <c r="K48" i="4"/>
  <c r="K49" i="4"/>
  <c r="K50" i="4"/>
  <c r="K51" i="4"/>
  <c r="K52" i="4"/>
  <c r="K53" i="4"/>
  <c r="K55" i="4"/>
  <c r="K56" i="4"/>
  <c r="K57" i="4"/>
  <c r="K64" i="4"/>
  <c r="K65" i="4"/>
  <c r="K70" i="4"/>
  <c r="K71" i="4"/>
  <c r="K72" i="4"/>
  <c r="K73" i="4"/>
  <c r="K74" i="4"/>
  <c r="K75" i="4"/>
  <c r="K79" i="4"/>
  <c r="K80" i="4"/>
  <c r="K81" i="4"/>
  <c r="K85" i="4"/>
  <c r="K86" i="4"/>
  <c r="K87" i="4"/>
  <c r="K88" i="4"/>
  <c r="K89" i="4"/>
  <c r="K90" i="4"/>
  <c r="K99" i="4"/>
  <c r="K98" i="4" s="1"/>
  <c r="K103" i="4"/>
  <c r="K104" i="4"/>
  <c r="K108" i="4"/>
  <c r="K109" i="4"/>
  <c r="K110" i="4"/>
  <c r="K111" i="4"/>
  <c r="K115" i="4"/>
  <c r="K116" i="4"/>
  <c r="K117" i="4"/>
  <c r="K118" i="4"/>
  <c r="K123" i="4"/>
  <c r="K124" i="4"/>
  <c r="K125" i="4"/>
  <c r="K126" i="4"/>
  <c r="K131" i="4"/>
  <c r="K132" i="4"/>
  <c r="K133" i="4"/>
  <c r="K134" i="4"/>
  <c r="K135" i="4"/>
  <c r="K138" i="4"/>
  <c r="K139" i="4"/>
  <c r="K140" i="4"/>
  <c r="K141" i="4"/>
  <c r="K142" i="4"/>
  <c r="K146" i="4"/>
  <c r="K147" i="4"/>
  <c r="K148" i="4"/>
  <c r="K149" i="4"/>
  <c r="K154" i="4"/>
  <c r="K155" i="4"/>
  <c r="K156" i="4"/>
  <c r="K157" i="4"/>
  <c r="K162" i="4"/>
  <c r="K163" i="4"/>
  <c r="K167" i="4"/>
  <c r="K168" i="4"/>
  <c r="K172" i="4"/>
  <c r="K171" i="4" s="1"/>
  <c r="K177" i="4"/>
  <c r="K178" i="4"/>
  <c r="K182" i="4"/>
  <c r="K181" i="4" s="1"/>
  <c r="K185" i="4"/>
  <c r="K184" i="4" s="1"/>
  <c r="K186" i="4"/>
  <c r="K187" i="4"/>
  <c r="K188" i="4"/>
  <c r="K194" i="4"/>
  <c r="K193" i="4" s="1"/>
  <c r="K192" i="4" s="1"/>
  <c r="K13" i="4"/>
  <c r="H12" i="4"/>
  <c r="I12" i="4"/>
  <c r="J12" i="4"/>
  <c r="D12" i="4"/>
  <c r="G142" i="4"/>
  <c r="G111" i="4"/>
  <c r="G110" i="4"/>
  <c r="G90" i="4"/>
  <c r="G75" i="4"/>
  <c r="P54" i="4" l="1"/>
  <c r="K54" i="4"/>
  <c r="S54" i="4"/>
  <c r="R54" i="4"/>
  <c r="Q54" i="4"/>
  <c r="Q44" i="4"/>
  <c r="P44" i="4"/>
  <c r="K44" i="4"/>
  <c r="S24" i="4"/>
  <c r="K24" i="4"/>
  <c r="K183" i="4"/>
  <c r="K176" i="4"/>
  <c r="K175" i="4" s="1"/>
  <c r="K166" i="4"/>
  <c r="K161" i="4"/>
  <c r="K153" i="4"/>
  <c r="K137" i="4"/>
  <c r="K145" i="4"/>
  <c r="K130" i="4"/>
  <c r="K122" i="4"/>
  <c r="K114" i="4"/>
  <c r="K107" i="4"/>
  <c r="K63" i="4"/>
  <c r="K102" i="4"/>
  <c r="O56" i="4"/>
  <c r="O52" i="4"/>
  <c r="O48" i="4"/>
  <c r="K78" i="4"/>
  <c r="K84" i="4"/>
  <c r="R69" i="4"/>
  <c r="Q69" i="4"/>
  <c r="K69" i="4"/>
  <c r="S69" i="4"/>
  <c r="P69" i="4"/>
  <c r="O72" i="4"/>
  <c r="O65" i="4"/>
  <c r="O73" i="4"/>
  <c r="O57" i="4"/>
  <c r="O53" i="4"/>
  <c r="O49" i="4"/>
  <c r="O24" i="4"/>
  <c r="O22" i="4"/>
  <c r="O18" i="4"/>
  <c r="O14" i="4"/>
  <c r="O87" i="4"/>
  <c r="O81" i="4"/>
  <c r="O75" i="4"/>
  <c r="O21" i="4"/>
  <c r="O17" i="4"/>
  <c r="O131" i="4"/>
  <c r="O124" i="4"/>
  <c r="O117" i="4"/>
  <c r="O111" i="4"/>
  <c r="O109" i="4"/>
  <c r="O103" i="4"/>
  <c r="O141" i="4"/>
  <c r="O123" i="4"/>
  <c r="O116" i="4"/>
  <c r="O110" i="4"/>
  <c r="O108" i="4"/>
  <c r="O90" i="4"/>
  <c r="O88" i="4"/>
  <c r="O146" i="4"/>
  <c r="O133" i="4"/>
  <c r="O188" i="4"/>
  <c r="K12" i="4"/>
  <c r="O178" i="4"/>
  <c r="O172" i="4"/>
  <c r="O157" i="4"/>
  <c r="O194" i="4"/>
  <c r="O193" i="4" s="1"/>
  <c r="O192" i="4" s="1"/>
  <c r="O185" i="4"/>
  <c r="O182" i="4"/>
  <c r="O181" i="4" s="1"/>
  <c r="O177" i="4"/>
  <c r="O168" i="4"/>
  <c r="O167" i="4"/>
  <c r="O163" i="4"/>
  <c r="O162" i="4"/>
  <c r="O156" i="4"/>
  <c r="O155" i="4"/>
  <c r="O154" i="4"/>
  <c r="O149" i="4"/>
  <c r="O148" i="4"/>
  <c r="O147" i="4"/>
  <c r="O142" i="4"/>
  <c r="O140" i="4"/>
  <c r="O139" i="4"/>
  <c r="O138" i="4"/>
  <c r="O135" i="4"/>
  <c r="O134" i="4"/>
  <c r="O126" i="4"/>
  <c r="O125" i="4"/>
  <c r="O118" i="4"/>
  <c r="O115" i="4"/>
  <c r="O104" i="4"/>
  <c r="O99" i="4"/>
  <c r="O98" i="4" s="1"/>
  <c r="O89" i="4"/>
  <c r="O86" i="4"/>
  <c r="O85" i="4"/>
  <c r="O80" i="4"/>
  <c r="O79" i="4"/>
  <c r="O74" i="4"/>
  <c r="O71" i="4"/>
  <c r="O70" i="4"/>
  <c r="O64" i="4"/>
  <c r="O55" i="4"/>
  <c r="O51" i="4"/>
  <c r="O50" i="4"/>
  <c r="O47" i="4"/>
  <c r="O43" i="4"/>
  <c r="O42" i="4" s="1"/>
  <c r="O23" i="4"/>
  <c r="O20" i="4"/>
  <c r="O19" i="4"/>
  <c r="O16" i="4"/>
  <c r="O15" i="4"/>
  <c r="O132" i="4"/>
  <c r="P12" i="4"/>
  <c r="S12" i="4"/>
  <c r="O54" i="4" l="1"/>
  <c r="K62" i="4"/>
  <c r="K97" i="4"/>
  <c r="O69" i="4"/>
  <c r="K61" i="4" l="1"/>
  <c r="K60" i="4" s="1"/>
  <c r="Q12" i="4"/>
  <c r="AA23" i="4" l="1"/>
  <c r="X24" i="4"/>
  <c r="D24" i="4"/>
  <c r="G23" i="4" l="1"/>
  <c r="Z24" i="4"/>
  <c r="G37" i="4"/>
  <c r="G20" i="4"/>
  <c r="G22" i="4"/>
  <c r="G30" i="4"/>
  <c r="G26" i="4"/>
  <c r="G27" i="4"/>
  <c r="G28" i="4"/>
  <c r="G33" i="4"/>
  <c r="G34" i="4"/>
  <c r="G35" i="4"/>
  <c r="G40" i="4"/>
  <c r="G41" i="4"/>
  <c r="G13" i="4"/>
  <c r="G15" i="4"/>
  <c r="Y24" i="4"/>
  <c r="G32" i="4"/>
  <c r="G39" i="4"/>
  <c r="G29" i="4"/>
  <c r="G36" i="4"/>
  <c r="G43" i="4"/>
  <c r="G42" i="4" s="1"/>
  <c r="G16" i="4"/>
  <c r="G18" i="4"/>
  <c r="G19" i="4"/>
  <c r="G25" i="4"/>
  <c r="G31" i="4"/>
  <c r="G38" i="4"/>
  <c r="G14" i="4"/>
  <c r="G17" i="4"/>
  <c r="G21" i="4"/>
  <c r="G24" i="4" l="1"/>
  <c r="R12" i="4"/>
  <c r="O13" i="4"/>
  <c r="O12" i="4" s="1"/>
  <c r="G12" i="4"/>
  <c r="Z11" i="4"/>
  <c r="AB23" i="4"/>
  <c r="AC23" i="4"/>
  <c r="AA10" i="4"/>
  <c r="AC10" i="4" l="1"/>
  <c r="X44" i="4" l="1"/>
  <c r="AE62" i="4" l="1"/>
  <c r="AF62" i="4"/>
  <c r="G53" i="4" l="1"/>
  <c r="AB176" i="4" l="1"/>
  <c r="H72" i="17" l="1"/>
  <c r="I72" i="17"/>
  <c r="J72" i="17"/>
  <c r="H24" i="17"/>
  <c r="I24" i="17"/>
  <c r="H15" i="17"/>
  <c r="I15" i="17"/>
  <c r="J15" i="17"/>
  <c r="G76" i="17"/>
  <c r="G75" i="17" s="1"/>
  <c r="G74" i="17" s="1"/>
  <c r="J75" i="17"/>
  <c r="J74" i="17" s="1"/>
  <c r="G73" i="17"/>
  <c r="G72" i="17" s="1"/>
  <c r="G71" i="17"/>
  <c r="G70" i="17"/>
  <c r="J69" i="17"/>
  <c r="J68" i="17" s="1"/>
  <c r="Q72" i="17"/>
  <c r="Q70" i="17"/>
  <c r="G67" i="17"/>
  <c r="O66" i="17"/>
  <c r="N66" i="17"/>
  <c r="M66" i="17"/>
  <c r="J66" i="17"/>
  <c r="J65" i="17" s="1"/>
  <c r="R66" i="17"/>
  <c r="Q66" i="17"/>
  <c r="R63" i="17"/>
  <c r="O63" i="17"/>
  <c r="N63" i="17"/>
  <c r="J63" i="17"/>
  <c r="G62" i="17"/>
  <c r="O61" i="17"/>
  <c r="N61" i="17"/>
  <c r="M61" i="17"/>
  <c r="J61" i="17"/>
  <c r="G61" i="17" s="1"/>
  <c r="R61" i="17"/>
  <c r="Q61" i="17"/>
  <c r="G60" i="17"/>
  <c r="O59" i="17"/>
  <c r="N59" i="17"/>
  <c r="M59" i="17"/>
  <c r="J59" i="17"/>
  <c r="S59" i="17" s="1"/>
  <c r="R59" i="17"/>
  <c r="Q59" i="17"/>
  <c r="R57" i="17"/>
  <c r="O57" i="17"/>
  <c r="N57" i="17"/>
  <c r="J57" i="17"/>
  <c r="S57" i="17" s="1"/>
  <c r="O55" i="17"/>
  <c r="N55" i="17"/>
  <c r="M55" i="17"/>
  <c r="J55" i="17"/>
  <c r="S55" i="17" s="1"/>
  <c r="Q55" i="17"/>
  <c r="R53" i="17"/>
  <c r="O53" i="17"/>
  <c r="N53" i="17"/>
  <c r="J53" i="17"/>
  <c r="S53" i="17" s="1"/>
  <c r="M51" i="17"/>
  <c r="O51" i="17"/>
  <c r="N51" i="17"/>
  <c r="J51" i="17"/>
  <c r="S51" i="17" s="1"/>
  <c r="R51" i="17"/>
  <c r="R49" i="17"/>
  <c r="O49" i="17"/>
  <c r="N49" i="17"/>
  <c r="J49" i="17"/>
  <c r="R46" i="17"/>
  <c r="G47" i="17"/>
  <c r="O46" i="17"/>
  <c r="N46" i="17"/>
  <c r="M46" i="17"/>
  <c r="J46" i="17"/>
  <c r="S46" i="17" s="1"/>
  <c r="Q46" i="17"/>
  <c r="G45" i="17"/>
  <c r="L45" i="17" s="1"/>
  <c r="O44" i="17"/>
  <c r="N44" i="17"/>
  <c r="J44" i="17"/>
  <c r="S44" i="17" s="1"/>
  <c r="R44" i="17"/>
  <c r="Q44" i="17"/>
  <c r="M42" i="17"/>
  <c r="R42" i="17"/>
  <c r="O42" i="17"/>
  <c r="N42" i="17"/>
  <c r="J42" i="17"/>
  <c r="G42" i="17" s="1"/>
  <c r="R40" i="17"/>
  <c r="G41" i="17"/>
  <c r="O40" i="17"/>
  <c r="N40" i="17"/>
  <c r="M40" i="17"/>
  <c r="J40" i="17"/>
  <c r="Q40" i="17"/>
  <c r="G38" i="17"/>
  <c r="O36" i="17"/>
  <c r="N36" i="17"/>
  <c r="M36" i="17"/>
  <c r="J36" i="17"/>
  <c r="S36" i="17" s="1"/>
  <c r="R36" i="17"/>
  <c r="P34" i="17"/>
  <c r="N34" i="17"/>
  <c r="M34" i="17"/>
  <c r="L34" i="17"/>
  <c r="J34" i="17"/>
  <c r="G33" i="17"/>
  <c r="O32" i="17"/>
  <c r="N32" i="17"/>
  <c r="M32" i="17"/>
  <c r="J32" i="17"/>
  <c r="S32" i="17" s="1"/>
  <c r="R32" i="17"/>
  <c r="Q32" i="17"/>
  <c r="G31" i="17"/>
  <c r="O30" i="17"/>
  <c r="N30" i="17"/>
  <c r="M30" i="17"/>
  <c r="J30" i="17"/>
  <c r="R30" i="17"/>
  <c r="Q30" i="17"/>
  <c r="G26" i="17"/>
  <c r="G25" i="17"/>
  <c r="J24" i="17"/>
  <c r="G22" i="17"/>
  <c r="G21" i="17"/>
  <c r="G20" i="17"/>
  <c r="G19" i="17"/>
  <c r="G17" i="17"/>
  <c r="G16" i="17"/>
  <c r="K15" i="17"/>
  <c r="Q15" i="17"/>
  <c r="G11" i="17"/>
  <c r="G24" i="17" l="1"/>
  <c r="M57" i="17"/>
  <c r="J29" i="17"/>
  <c r="M53" i="17"/>
  <c r="L19" i="17"/>
  <c r="L20" i="17"/>
  <c r="L22" i="17"/>
  <c r="M49" i="17"/>
  <c r="L63" i="17"/>
  <c r="G32" i="17"/>
  <c r="P32" i="17" s="1"/>
  <c r="G59" i="17"/>
  <c r="P59" i="17" s="1"/>
  <c r="L57" i="17"/>
  <c r="M15" i="17"/>
  <c r="L49" i="17"/>
  <c r="L26" i="17"/>
  <c r="L32" i="17"/>
  <c r="L36" i="17"/>
  <c r="L38" i="17"/>
  <c r="M44" i="17"/>
  <c r="L55" i="17"/>
  <c r="G30" i="17"/>
  <c r="P30" i="17" s="1"/>
  <c r="L53" i="17"/>
  <c r="L66" i="17"/>
  <c r="S15" i="17"/>
  <c r="O15" i="17"/>
  <c r="L59" i="17"/>
  <c r="L61" i="17"/>
  <c r="L16" i="17"/>
  <c r="L46" i="17"/>
  <c r="N15" i="17"/>
  <c r="L30" i="17"/>
  <c r="J39" i="17"/>
  <c r="L71" i="17"/>
  <c r="L25" i="17"/>
  <c r="L31" i="17"/>
  <c r="L41" i="17"/>
  <c r="P61" i="17"/>
  <c r="L62" i="17"/>
  <c r="L60" i="17"/>
  <c r="L47" i="17"/>
  <c r="L17" i="17"/>
  <c r="L21" i="17"/>
  <c r="S30" i="17"/>
  <c r="Q34" i="17"/>
  <c r="G43" i="17"/>
  <c r="L43" i="17" s="1"/>
  <c r="G48" i="17"/>
  <c r="S49" i="17"/>
  <c r="G18" i="17"/>
  <c r="G23" i="17"/>
  <c r="L33" i="17"/>
  <c r="Q42" i="17"/>
  <c r="G44" i="17"/>
  <c r="P44" i="17" s="1"/>
  <c r="L44" i="17"/>
  <c r="L51" i="17"/>
  <c r="G54" i="17"/>
  <c r="L54" i="17" s="1"/>
  <c r="Q57" i="17"/>
  <c r="G58" i="17"/>
  <c r="G35" i="17"/>
  <c r="L40" i="17"/>
  <c r="G55" i="17"/>
  <c r="R55" i="17"/>
  <c r="I10" i="17"/>
  <c r="G37" i="17"/>
  <c r="Q36" i="17"/>
  <c r="G50" i="17"/>
  <c r="L50" i="17" s="1"/>
  <c r="G52" i="17"/>
  <c r="Q51" i="17"/>
  <c r="G64" i="17"/>
  <c r="Q63" i="17"/>
  <c r="G66" i="17"/>
  <c r="L67" i="17"/>
  <c r="G40" i="17"/>
  <c r="G56" i="17"/>
  <c r="L56" i="17" s="1"/>
  <c r="M63" i="17"/>
  <c r="G69" i="17"/>
  <c r="G68" i="17" s="1"/>
  <c r="G15" i="17" l="1"/>
  <c r="J28" i="17"/>
  <c r="J27" i="17" s="1"/>
  <c r="J10" i="17" s="1"/>
  <c r="P42" i="17"/>
  <c r="L42" i="17"/>
  <c r="R70" i="17"/>
  <c r="L23" i="17"/>
  <c r="L18" i="17"/>
  <c r="P66" i="17"/>
  <c r="G65" i="17"/>
  <c r="P55" i="17"/>
  <c r="Q53" i="17"/>
  <c r="G53" i="17"/>
  <c r="P53" i="17" s="1"/>
  <c r="H10" i="17"/>
  <c r="L48" i="17"/>
  <c r="G46" i="17"/>
  <c r="P46" i="17" s="1"/>
  <c r="L52" i="17"/>
  <c r="G51" i="17"/>
  <c r="P51" i="17" s="1"/>
  <c r="L37" i="17"/>
  <c r="G36" i="17"/>
  <c r="P36" i="17" s="1"/>
  <c r="L35" i="17"/>
  <c r="G34" i="17"/>
  <c r="P15" i="17"/>
  <c r="L64" i="17"/>
  <c r="G63" i="17"/>
  <c r="P63" i="17" s="1"/>
  <c r="L58" i="17"/>
  <c r="G57" i="17"/>
  <c r="P57" i="17" s="1"/>
  <c r="R15" i="17"/>
  <c r="Q49" i="17"/>
  <c r="G49" i="17"/>
  <c r="P49" i="17" s="1"/>
  <c r="P40" i="17"/>
  <c r="L15" i="17"/>
  <c r="G50" i="4"/>
  <c r="G46" i="4"/>
  <c r="G48" i="4"/>
  <c r="Z48" i="4" s="1"/>
  <c r="AC48" i="4" s="1"/>
  <c r="G52" i="4"/>
  <c r="Z52" i="4" s="1"/>
  <c r="AC52" i="4" s="1"/>
  <c r="G47" i="4"/>
  <c r="AA47" i="4" s="1"/>
  <c r="G51" i="4"/>
  <c r="G45" i="4"/>
  <c r="G49" i="4"/>
  <c r="G44" i="4" l="1"/>
  <c r="AB46" i="4"/>
  <c r="Z46" i="4"/>
  <c r="AC46" i="4" s="1"/>
  <c r="AA51" i="4"/>
  <c r="AD51" i="4" s="1"/>
  <c r="Z51" i="4"/>
  <c r="AC51" i="4" s="1"/>
  <c r="AB51" i="4"/>
  <c r="AE51" i="4" s="1"/>
  <c r="AA50" i="4"/>
  <c r="AD50" i="4" s="1"/>
  <c r="Z50" i="4"/>
  <c r="AC50" i="4" s="1"/>
  <c r="AB52" i="4"/>
  <c r="AE52" i="4" s="1"/>
  <c r="AA49" i="4"/>
  <c r="AD49" i="4" s="1"/>
  <c r="AB49" i="4"/>
  <c r="AE49" i="4" s="1"/>
  <c r="Z49" i="4"/>
  <c r="AC49" i="4" s="1"/>
  <c r="AB47" i="4"/>
  <c r="Z47" i="4"/>
  <c r="AA48" i="4"/>
  <c r="AD48" i="4" s="1"/>
  <c r="AB50" i="4"/>
  <c r="AE50" i="4" s="1"/>
  <c r="AA52" i="4"/>
  <c r="AD52" i="4" s="1"/>
  <c r="AA46" i="4"/>
  <c r="AD46" i="4" s="1"/>
  <c r="AB48" i="4"/>
  <c r="AE48" i="4" s="1"/>
  <c r="L70" i="17"/>
  <c r="O34" i="17"/>
  <c r="G29" i="17"/>
  <c r="G39" i="17"/>
  <c r="AB44" i="4"/>
  <c r="AF52" i="4" l="1"/>
  <c r="AF48" i="4"/>
  <c r="AF49" i="4"/>
  <c r="AF50" i="4"/>
  <c r="AC47" i="4"/>
  <c r="AF47" i="4" s="1"/>
  <c r="AF46" i="4"/>
  <c r="AF51" i="4"/>
  <c r="G28" i="17"/>
  <c r="G27" i="17" s="1"/>
  <c r="G10" i="17" s="1"/>
  <c r="AE44" i="4" l="1"/>
  <c r="Z45" i="4"/>
  <c r="Z5" i="4"/>
  <c r="AD44" i="4" l="1"/>
  <c r="Y45" i="4"/>
  <c r="Y5" i="4"/>
  <c r="Y7" i="4"/>
  <c r="G56" i="4"/>
  <c r="AB63" i="4"/>
  <c r="AB69" i="4"/>
  <c r="G186" i="4" l="1"/>
  <c r="AA186" i="4" s="1"/>
  <c r="AD186" i="4" s="1"/>
  <c r="G57" i="4"/>
  <c r="G187" i="4"/>
  <c r="G55" i="4"/>
  <c r="G118" i="4"/>
  <c r="G54" i="4" l="1"/>
  <c r="AE185" i="4"/>
  <c r="Z186" i="4"/>
  <c r="AC186" i="4" s="1"/>
  <c r="AB186" i="4"/>
  <c r="AE186" i="4" s="1"/>
  <c r="Z55" i="4"/>
  <c r="AC55" i="4" s="1"/>
  <c r="AA55" i="4"/>
  <c r="AB55" i="4"/>
  <c r="AD185" i="4"/>
  <c r="G185" i="4"/>
  <c r="G184" i="4" s="1"/>
  <c r="Y57" i="4"/>
  <c r="G133" i="4"/>
  <c r="AB161" i="4"/>
  <c r="G125" i="4"/>
  <c r="G126" i="4"/>
  <c r="G124" i="4"/>
  <c r="AB98" i="4"/>
  <c r="AF186" i="4" l="1"/>
  <c r="AE55" i="4"/>
  <c r="AB56" i="4"/>
  <c r="Z56" i="4"/>
  <c r="AD55" i="4"/>
  <c r="AA56" i="4"/>
  <c r="AB122" i="4"/>
  <c r="AB130" i="4"/>
  <c r="AB153" i="4"/>
  <c r="AB107" i="4"/>
  <c r="G162" i="4"/>
  <c r="G177" i="4"/>
  <c r="AB137" i="4"/>
  <c r="G108" i="4"/>
  <c r="AB171" i="4"/>
  <c r="G146" i="4"/>
  <c r="G99" i="4"/>
  <c r="G98" i="4" s="1"/>
  <c r="G163" i="4"/>
  <c r="G168" i="4"/>
  <c r="G167" i="4"/>
  <c r="AB166" i="4"/>
  <c r="G148" i="4"/>
  <c r="G139" i="4"/>
  <c r="G155" i="4"/>
  <c r="G156" i="4"/>
  <c r="G157" i="4"/>
  <c r="G147" i="4"/>
  <c r="AB102" i="4"/>
  <c r="G123" i="4"/>
  <c r="G149" i="4"/>
  <c r="AB145" i="4"/>
  <c r="G140" i="4"/>
  <c r="G141" i="4"/>
  <c r="G132" i="4"/>
  <c r="G131" i="4"/>
  <c r="G116" i="4"/>
  <c r="G103" i="4"/>
  <c r="G117" i="4"/>
  <c r="AB114" i="4"/>
  <c r="G109" i="4"/>
  <c r="G89" i="4"/>
  <c r="G130" i="4" l="1"/>
  <c r="G166" i="4"/>
  <c r="G145" i="4"/>
  <c r="G161" i="4"/>
  <c r="Z123" i="4"/>
  <c r="AC123" i="4" s="1"/>
  <c r="G122" i="4"/>
  <c r="G107" i="4"/>
  <c r="AA54" i="4"/>
  <c r="G183" i="4"/>
  <c r="AA123" i="4"/>
  <c r="AD123" i="4" s="1"/>
  <c r="AB123" i="4"/>
  <c r="AE123" i="4" s="1"/>
  <c r="Z162" i="4"/>
  <c r="AC162" i="4" s="1"/>
  <c r="AB162" i="4"/>
  <c r="AE162" i="4" s="1"/>
  <c r="AA162" i="4"/>
  <c r="AD162" i="4" s="1"/>
  <c r="AA99" i="4"/>
  <c r="AD99" i="4" s="1"/>
  <c r="AE98" i="4" s="1"/>
  <c r="Z99" i="4"/>
  <c r="AC99" i="4" s="1"/>
  <c r="AB99" i="4"/>
  <c r="AE99" i="4" s="1"/>
  <c r="AB167" i="4"/>
  <c r="AE167" i="4" s="1"/>
  <c r="AA167" i="4"/>
  <c r="AD167" i="4" s="1"/>
  <c r="Z167" i="4"/>
  <c r="AC167" i="4" s="1"/>
  <c r="AB108" i="4"/>
  <c r="AE108" i="4" s="1"/>
  <c r="AA108" i="4"/>
  <c r="AD108" i="4" s="1"/>
  <c r="Z108" i="4"/>
  <c r="AC108" i="4" s="1"/>
  <c r="AB103" i="4"/>
  <c r="AE103" i="4" s="1"/>
  <c r="AA103" i="4"/>
  <c r="AD103" i="4" s="1"/>
  <c r="Z103" i="4"/>
  <c r="AC103" i="4" s="1"/>
  <c r="AF55" i="4"/>
  <c r="Y56" i="4"/>
  <c r="G115" i="4"/>
  <c r="G114" i="4" s="1"/>
  <c r="G138" i="4"/>
  <c r="G137" i="4" s="1"/>
  <c r="G172" i="4"/>
  <c r="G171" i="4" s="1"/>
  <c r="AB84" i="4"/>
  <c r="G87" i="4"/>
  <c r="G104" i="4"/>
  <c r="G102" i="4" s="1"/>
  <c r="G88" i="4"/>
  <c r="G85" i="4"/>
  <c r="G86" i="4"/>
  <c r="G80" i="4"/>
  <c r="G79" i="4"/>
  <c r="G74" i="4"/>
  <c r="G81" i="4"/>
  <c r="G73" i="4"/>
  <c r="G71" i="4"/>
  <c r="G72" i="4"/>
  <c r="G70" i="4"/>
  <c r="G64" i="4"/>
  <c r="G63" i="4" s="1"/>
  <c r="G78" i="4" l="1"/>
  <c r="G84" i="4"/>
  <c r="G69" i="4"/>
  <c r="Z54" i="4"/>
  <c r="AA138" i="4"/>
  <c r="AD138" i="4" s="1"/>
  <c r="AB138" i="4"/>
  <c r="AE138" i="4" s="1"/>
  <c r="Z138" i="4"/>
  <c r="AC138" i="4" s="1"/>
  <c r="AF99" i="4"/>
  <c r="AF162" i="4"/>
  <c r="AF123" i="4"/>
  <c r="AB172" i="4"/>
  <c r="AE172" i="4" s="1"/>
  <c r="AA172" i="4"/>
  <c r="AD172" i="4" s="1"/>
  <c r="Z172" i="4"/>
  <c r="AC172" i="4" s="1"/>
  <c r="AF167" i="4"/>
  <c r="AB115" i="4"/>
  <c r="AE115" i="4" s="1"/>
  <c r="AA115" i="4"/>
  <c r="AD115" i="4" s="1"/>
  <c r="Z115" i="4"/>
  <c r="AC115" i="4" s="1"/>
  <c r="AF103" i="4"/>
  <c r="AF108" i="4"/>
  <c r="AA70" i="4"/>
  <c r="AD70" i="4" s="1"/>
  <c r="Z70" i="4"/>
  <c r="AC70" i="4" s="1"/>
  <c r="AB70" i="4"/>
  <c r="AE70" i="4" s="1"/>
  <c r="AB64" i="4"/>
  <c r="AE64" i="4" s="1"/>
  <c r="Z64" i="4"/>
  <c r="AC64" i="4" s="1"/>
  <c r="AA64" i="4"/>
  <c r="AD64" i="4" s="1"/>
  <c r="G62" i="4" l="1"/>
  <c r="Y54" i="4"/>
  <c r="AF138" i="4"/>
  <c r="AD98" i="4"/>
  <c r="AF172" i="4"/>
  <c r="AF115" i="4"/>
  <c r="AF70" i="4"/>
  <c r="AF64" i="4"/>
  <c r="Z69" i="4" l="1"/>
  <c r="X54" i="4"/>
  <c r="Z139" i="4"/>
  <c r="AC98" i="4" l="1"/>
  <c r="G154" i="4" l="1"/>
  <c r="G153" i="4" s="1"/>
  <c r="G97" i="4" s="1"/>
  <c r="AB154" i="4" l="1"/>
  <c r="AE154" i="4" s="1"/>
  <c r="AA154" i="4"/>
  <c r="AD154" i="4" s="1"/>
  <c r="Z154" i="4"/>
  <c r="AC154" i="4" s="1"/>
  <c r="AF154" i="4" l="1"/>
  <c r="AF61" i="4" l="1"/>
  <c r="AB10" i="4" l="1"/>
  <c r="G176" i="4" l="1"/>
  <c r="G175" i="4" l="1"/>
  <c r="G61" i="4" s="1"/>
  <c r="G60" i="4" s="1"/>
  <c r="G11" i="4"/>
  <c r="I11" i="4"/>
  <c r="I10" i="4" s="1"/>
  <c r="H11" i="4"/>
  <c r="H10" i="4" s="1"/>
  <c r="J11" i="4"/>
  <c r="J10" i="4" s="1"/>
  <c r="K11" i="4"/>
  <c r="K10" i="4" s="1"/>
  <c r="P11" i="4"/>
  <c r="AA41" i="4"/>
  <c r="L11" i="4"/>
  <c r="L10" i="4" s="1"/>
  <c r="AC41" i="4"/>
  <c r="N11" i="4"/>
  <c r="N10" i="4" s="1"/>
  <c r="Z42" i="4"/>
  <c r="T11" i="4"/>
  <c r="U11" i="4"/>
  <c r="AB41" i="4"/>
  <c r="M11" i="4"/>
  <c r="M10" i="4" s="1"/>
  <c r="X42" i="4"/>
  <c r="Y42" i="4"/>
  <c r="G10" i="4" l="1"/>
  <c r="Y11" i="4"/>
  <c r="X11" i="4"/>
  <c r="X12" i="4"/>
  <c r="Y12" i="4"/>
  <c r="S45" i="4"/>
  <c r="O45" i="4"/>
  <c r="O46" i="4"/>
  <c r="V46" i="4"/>
  <c r="V44" i="4" s="1"/>
  <c r="V11" i="4" s="1"/>
  <c r="R44" i="4"/>
  <c r="AA45" i="4" s="1"/>
  <c r="O44" i="4" l="1"/>
  <c r="O11" i="4" s="1"/>
  <c r="AF44" i="4"/>
  <c r="AA5" i="4"/>
  <c r="S46" i="4"/>
  <c r="S44" i="4" s="1"/>
  <c r="S11" i="4" s="1"/>
  <c r="R11" i="4"/>
  <c r="AC44" i="4" l="1"/>
  <c r="Z12" i="4"/>
  <c r="P63" i="4"/>
  <c r="T66" i="4"/>
  <c r="T63" i="4" s="1"/>
  <c r="X63" i="4" l="1"/>
  <c r="U66" i="4" l="1"/>
  <c r="U63" i="4" s="1"/>
  <c r="V66" i="4"/>
  <c r="V63" i="4" s="1"/>
  <c r="R63" i="4"/>
  <c r="S67" i="4"/>
  <c r="S66" i="4" s="1"/>
  <c r="S63" i="4" s="1"/>
  <c r="O67" i="4"/>
  <c r="Q63" i="4"/>
  <c r="O63" i="4" l="1"/>
  <c r="O68" i="4"/>
  <c r="Y63" i="4"/>
  <c r="Z63" i="4"/>
  <c r="O78" i="4"/>
  <c r="R78" i="4"/>
  <c r="Z78" i="4" s="1"/>
  <c r="V83" i="4"/>
  <c r="V82" i="4" s="1"/>
  <c r="V78" i="4" s="1"/>
  <c r="T83" i="4"/>
  <c r="T82" i="4" s="1"/>
  <c r="T78" i="4" s="1"/>
  <c r="P78" i="4"/>
  <c r="U83" i="4"/>
  <c r="U82" i="4" s="1"/>
  <c r="U78" i="4" s="1"/>
  <c r="Q78" i="4"/>
  <c r="AD78" i="4" l="1"/>
  <c r="AD62" i="4" s="1"/>
  <c r="AD61" i="4" s="1"/>
  <c r="Y78" i="4"/>
  <c r="AC78" i="4"/>
  <c r="AC62" i="4" s="1"/>
  <c r="AC61" i="4" s="1"/>
  <c r="X78" i="4"/>
  <c r="AB78" i="4"/>
  <c r="S83" i="4"/>
  <c r="S82" i="4" s="1"/>
  <c r="S78" i="4" s="1"/>
  <c r="O84" i="4"/>
  <c r="O62" i="4" s="1"/>
  <c r="P84" i="4"/>
  <c r="X84" i="4" s="1"/>
  <c r="Q84" i="4"/>
  <c r="Q62" i="4" s="1"/>
  <c r="R84" i="4"/>
  <c r="Z84" i="4" s="1"/>
  <c r="P62" i="4" l="1"/>
  <c r="Y62" i="4" s="1"/>
  <c r="R62" i="4"/>
  <c r="AA62" i="4" s="1"/>
  <c r="Z62" i="4"/>
  <c r="Y84" i="4"/>
  <c r="V96" i="4" l="1"/>
  <c r="V95" i="4"/>
  <c r="V94" i="4"/>
  <c r="U94" i="4"/>
  <c r="U95" i="4"/>
  <c r="T96" i="4"/>
  <c r="U93" i="4"/>
  <c r="U96" i="4"/>
  <c r="T95" i="4"/>
  <c r="T94" i="4"/>
  <c r="T93" i="4"/>
  <c r="V93" i="4"/>
  <c r="S94" i="4" l="1"/>
  <c r="S96" i="4"/>
  <c r="V92" i="4"/>
  <c r="V84" i="4" s="1"/>
  <c r="V62" i="4" s="1"/>
  <c r="U92" i="4"/>
  <c r="U84" i="4" s="1"/>
  <c r="U62" i="4" s="1"/>
  <c r="S95" i="4"/>
  <c r="S93" i="4"/>
  <c r="T92" i="4"/>
  <c r="T84" i="4" s="1"/>
  <c r="T62" i="4" s="1"/>
  <c r="S92" i="4" l="1"/>
  <c r="S84" i="4" s="1"/>
  <c r="S62" i="4" s="1"/>
  <c r="AB62" i="4" s="1"/>
  <c r="V101" i="4"/>
  <c r="V100" i="4" s="1"/>
  <c r="V98" i="4" s="1"/>
  <c r="U101" i="4"/>
  <c r="U100" i="4" s="1"/>
  <c r="U98" i="4" s="1"/>
  <c r="O101" i="4"/>
  <c r="T101" i="4"/>
  <c r="T100" i="4" s="1"/>
  <c r="T98" i="4" s="1"/>
  <c r="S101" i="4" l="1"/>
  <c r="S100" i="4" s="1"/>
  <c r="S98" i="4" s="1"/>
  <c r="R102" i="4"/>
  <c r="P102" i="4"/>
  <c r="AD102" i="4" s="1"/>
  <c r="O102" i="4"/>
  <c r="AC102" i="4" s="1"/>
  <c r="Q102" i="4"/>
  <c r="AE102" i="4" s="1"/>
  <c r="T106" i="4" l="1"/>
  <c r="T105" i="4" s="1"/>
  <c r="T102" i="4" s="1"/>
  <c r="V106" i="4"/>
  <c r="V105" i="4" s="1"/>
  <c r="V102" i="4" s="1"/>
  <c r="U106" i="4"/>
  <c r="U105" i="4" s="1"/>
  <c r="U102" i="4" s="1"/>
  <c r="O106" i="4"/>
  <c r="S106" i="4" l="1"/>
  <c r="S105" i="4" s="1"/>
  <c r="S102" i="4" s="1"/>
  <c r="O107" i="4"/>
  <c r="R107" i="4"/>
  <c r="P107" i="4"/>
  <c r="Q107" i="4"/>
  <c r="T113" i="4" l="1"/>
  <c r="O113" i="4"/>
  <c r="U113" i="4"/>
  <c r="U112" i="4" s="1"/>
  <c r="U107" i="4" s="1"/>
  <c r="V113" i="4"/>
  <c r="V112" i="4" s="1"/>
  <c r="V107" i="4" s="1"/>
  <c r="T112" i="4"/>
  <c r="T107" i="4" s="1"/>
  <c r="S113" i="4" l="1"/>
  <c r="S112" i="4" s="1"/>
  <c r="S107" i="4" s="1"/>
  <c r="Q114" i="4"/>
  <c r="AE114" i="4" s="1"/>
  <c r="P114" i="4"/>
  <c r="AD114" i="4" s="1"/>
  <c r="R114" i="4"/>
  <c r="AF114" i="4" s="1"/>
  <c r="O114" i="4"/>
  <c r="AC114" i="4" l="1"/>
  <c r="U121" i="4" l="1"/>
  <c r="U120" i="4"/>
  <c r="U119" i="4" s="1"/>
  <c r="U114" i="4" s="1"/>
  <c r="V121" i="4"/>
  <c r="T120" i="4"/>
  <c r="O120" i="4"/>
  <c r="V120" i="4"/>
  <c r="O121" i="4"/>
  <c r="T121" i="4"/>
  <c r="S121" i="4" l="1"/>
  <c r="V119" i="4"/>
  <c r="V114" i="4" s="1"/>
  <c r="S120" i="4"/>
  <c r="T119" i="4"/>
  <c r="T114" i="4" s="1"/>
  <c r="Q122" i="4"/>
  <c r="AE122" i="4" s="1"/>
  <c r="P122" i="4"/>
  <c r="AD122" i="4" s="1"/>
  <c r="R122" i="4"/>
  <c r="O122" i="4"/>
  <c r="AC122" i="4" s="1"/>
  <c r="S119" i="4" l="1"/>
  <c r="S114" i="4" s="1"/>
  <c r="AF122" i="4"/>
  <c r="U129" i="4" l="1"/>
  <c r="O129" i="4"/>
  <c r="V129" i="4"/>
  <c r="O128" i="4"/>
  <c r="U128" i="4"/>
  <c r="U127" i="4" s="1"/>
  <c r="U122" i="4" s="1"/>
  <c r="T129" i="4"/>
  <c r="V128" i="4"/>
  <c r="T128" i="4"/>
  <c r="S129" i="4" l="1"/>
  <c r="V127" i="4"/>
  <c r="V122" i="4" s="1"/>
  <c r="T127" i="4"/>
  <c r="T122" i="4" s="1"/>
  <c r="S128" i="4"/>
  <c r="S130" i="4"/>
  <c r="U130" i="4"/>
  <c r="T130" i="4"/>
  <c r="V130" i="4"/>
  <c r="O130" i="4"/>
  <c r="P130" i="4"/>
  <c r="Q130" i="4"/>
  <c r="R130" i="4"/>
  <c r="P137" i="4"/>
  <c r="O137" i="4"/>
  <c r="Q137" i="4"/>
  <c r="R137" i="4"/>
  <c r="S127" i="4" l="1"/>
  <c r="S122" i="4" s="1"/>
  <c r="U144" i="4"/>
  <c r="U143" i="4" s="1"/>
  <c r="U137" i="4" s="1"/>
  <c r="O144" i="4"/>
  <c r="V144" i="4"/>
  <c r="V143" i="4" s="1"/>
  <c r="V137" i="4" s="1"/>
  <c r="T144" i="4"/>
  <c r="T143" i="4" s="1"/>
  <c r="T137" i="4" s="1"/>
  <c r="S144" i="4" l="1"/>
  <c r="S143" i="4" s="1"/>
  <c r="S137" i="4" s="1"/>
  <c r="O145" i="4"/>
  <c r="AC145" i="4" s="1"/>
  <c r="Q145" i="4"/>
  <c r="AE145" i="4" s="1"/>
  <c r="R145" i="4"/>
  <c r="P145" i="4"/>
  <c r="AD145" i="4" s="1"/>
  <c r="AF145" i="4" l="1"/>
  <c r="T152" i="4" l="1"/>
  <c r="T151" i="4" l="1"/>
  <c r="T145" i="4" s="1"/>
  <c r="U152" i="4"/>
  <c r="U151" i="4" s="1"/>
  <c r="U145" i="4" s="1"/>
  <c r="O152" i="4"/>
  <c r="V152" i="4"/>
  <c r="V151" i="4" s="1"/>
  <c r="V145" i="4" s="1"/>
  <c r="S152" i="4" l="1"/>
  <c r="S151" i="4" s="1"/>
  <c r="S145" i="4" s="1"/>
  <c r="AE61" i="4"/>
  <c r="P153" i="4"/>
  <c r="AD153" i="4" s="1"/>
  <c r="Q153" i="4"/>
  <c r="AE153" i="4" s="1"/>
  <c r="R153" i="4"/>
  <c r="AF153" i="4" s="1"/>
  <c r="O153" i="4"/>
  <c r="AC153" i="4" s="1"/>
  <c r="U160" i="4" l="1"/>
  <c r="V159" i="4"/>
  <c r="U159" i="4"/>
  <c r="T159" i="4"/>
  <c r="O159" i="4"/>
  <c r="V160" i="4"/>
  <c r="T160" i="4"/>
  <c r="O160" i="4"/>
  <c r="U158" i="4" l="1"/>
  <c r="U153" i="4" s="1"/>
  <c r="V158" i="4"/>
  <c r="V153" i="4" s="1"/>
  <c r="S159" i="4"/>
  <c r="S160" i="4"/>
  <c r="T158" i="4"/>
  <c r="T153" i="4" s="1"/>
  <c r="O161" i="4"/>
  <c r="AC161" i="4" s="1"/>
  <c r="R161" i="4"/>
  <c r="P161" i="4"/>
  <c r="AD161" i="4" s="1"/>
  <c r="Q161" i="4"/>
  <c r="AE161" i="4" s="1"/>
  <c r="AF161" i="4" l="1"/>
  <c r="S158" i="4"/>
  <c r="S153" i="4" s="1"/>
  <c r="T165" i="4" l="1"/>
  <c r="T164" i="4" l="1"/>
  <c r="T161" i="4" s="1"/>
  <c r="V165" i="4"/>
  <c r="V164" i="4" s="1"/>
  <c r="V161" i="4" s="1"/>
  <c r="U165" i="4"/>
  <c r="O165" i="4"/>
  <c r="S165" i="4" l="1"/>
  <c r="S164" i="4" s="1"/>
  <c r="S161" i="4" s="1"/>
  <c r="U164" i="4"/>
  <c r="U161" i="4" s="1"/>
  <c r="O166" i="4"/>
  <c r="AC166" i="4" s="1"/>
  <c r="P166" i="4"/>
  <c r="AD166" i="4" s="1"/>
  <c r="R166" i="4"/>
  <c r="Q166" i="4"/>
  <c r="AE166" i="4" l="1"/>
  <c r="U170" i="4" l="1"/>
  <c r="V170" i="4"/>
  <c r="V169" i="4" s="1"/>
  <c r="V166" i="4" s="1"/>
  <c r="T170" i="4"/>
  <c r="O170" i="4"/>
  <c r="S170" i="4" l="1"/>
  <c r="S169" i="4" s="1"/>
  <c r="S166" i="4" s="1"/>
  <c r="U169" i="4"/>
  <c r="U166" i="4" s="1"/>
  <c r="T169" i="4"/>
  <c r="T166" i="4" s="1"/>
  <c r="P171" i="4"/>
  <c r="AD171" i="4" s="1"/>
  <c r="Q171" i="4"/>
  <c r="Q97" i="4" s="1"/>
  <c r="R171" i="4"/>
  <c r="R97" i="4" s="1"/>
  <c r="Z97" i="4" s="1"/>
  <c r="O171" i="4"/>
  <c r="AC171" i="4" s="1"/>
  <c r="O97" i="4"/>
  <c r="P97" i="4" l="1"/>
  <c r="X97" i="4" s="1"/>
  <c r="Y97" i="4"/>
  <c r="Y175" i="4" s="1"/>
  <c r="AE171" i="4"/>
  <c r="T174" i="4" l="1"/>
  <c r="T173" i="4" l="1"/>
  <c r="T171" i="4" s="1"/>
  <c r="T97" i="4" s="1"/>
  <c r="O174" i="4"/>
  <c r="U174" i="4"/>
  <c r="U173" i="4" s="1"/>
  <c r="U171" i="4" s="1"/>
  <c r="U97" i="4" s="1"/>
  <c r="V174" i="4"/>
  <c r="V173" i="4" s="1"/>
  <c r="V171" i="4" s="1"/>
  <c r="V97" i="4" s="1"/>
  <c r="O176" i="4"/>
  <c r="O175" i="4" s="1"/>
  <c r="O61" i="4" s="1"/>
  <c r="O60" i="4" s="1"/>
  <c r="R176" i="4"/>
  <c r="R175" i="4" s="1"/>
  <c r="R61" i="4" s="1"/>
  <c r="P176" i="4"/>
  <c r="P175" i="4" s="1"/>
  <c r="P61" i="4" s="1"/>
  <c r="X61" i="4" s="1"/>
  <c r="Q176" i="4"/>
  <c r="AE176" i="4" s="1"/>
  <c r="AD176" i="4" l="1"/>
  <c r="S174" i="4"/>
  <c r="S173" i="4" s="1"/>
  <c r="S171" i="4" s="1"/>
  <c r="S97" i="4" s="1"/>
  <c r="Q175" i="4"/>
  <c r="Q61" i="4" s="1"/>
  <c r="Z61" i="4"/>
  <c r="R60" i="4"/>
  <c r="X60" i="4"/>
  <c r="AC176" i="4"/>
  <c r="P60" i="4"/>
  <c r="Y61" i="4" l="1"/>
  <c r="Q60" i="4"/>
  <c r="Y60" i="4"/>
  <c r="AA60" i="4"/>
  <c r="T180" i="4"/>
  <c r="T179" i="4" s="1"/>
  <c r="T176" i="4" s="1"/>
  <c r="T175" i="4" s="1"/>
  <c r="T61" i="4" s="1"/>
  <c r="T60" i="4" s="1"/>
  <c r="V180" i="4"/>
  <c r="V179" i="4" s="1"/>
  <c r="V176" i="4" s="1"/>
  <c r="V175" i="4" s="1"/>
  <c r="V61" i="4" s="1"/>
  <c r="V60" i="4" s="1"/>
  <c r="U180" i="4"/>
  <c r="O180" i="4"/>
  <c r="Z60" i="4" l="1"/>
  <c r="S180" i="4"/>
  <c r="S179" i="4" s="1"/>
  <c r="S176" i="4" s="1"/>
  <c r="S175" i="4" s="1"/>
  <c r="S61" i="4" s="1"/>
  <c r="S60" i="4" s="1"/>
  <c r="U179" i="4"/>
  <c r="U176" i="4" s="1"/>
  <c r="U175" i="4" s="1"/>
  <c r="U61" i="4" s="1"/>
  <c r="U60" i="4" s="1"/>
  <c r="O186" i="4"/>
  <c r="U186" i="4"/>
  <c r="V186" i="4"/>
  <c r="T186" i="4"/>
  <c r="S186" i="4" s="1"/>
  <c r="O187" i="4"/>
  <c r="O184" i="4" s="1"/>
  <c r="O183" i="4" s="1"/>
  <c r="O10" i="4" s="1"/>
  <c r="V187" i="4"/>
  <c r="R184" i="4"/>
  <c r="R183" i="4" s="1"/>
  <c r="R10" i="4" s="1"/>
  <c r="AT10" i="4" s="1"/>
  <c r="U187" i="4"/>
  <c r="U184" i="4" s="1"/>
  <c r="U183" i="4" s="1"/>
  <c r="Q184" i="4"/>
  <c r="Q183" i="4" s="1"/>
  <c r="Q10" i="4" s="1"/>
  <c r="AS10" i="4" s="1"/>
  <c r="T187" i="4"/>
  <c r="P184" i="4"/>
  <c r="AD187" i="4" s="1"/>
  <c r="AE187" i="4" l="1"/>
  <c r="V184" i="4"/>
  <c r="V183" i="4" s="1"/>
  <c r="V10" i="4" s="1"/>
  <c r="U10" i="4"/>
  <c r="S187" i="4"/>
  <c r="S184" i="4" s="1"/>
  <c r="S183" i="4" s="1"/>
  <c r="S10" i="4" s="1"/>
  <c r="T184" i="4"/>
  <c r="T183" i="4" s="1"/>
  <c r="T10" i="4" s="1"/>
  <c r="P183" i="4"/>
  <c r="P10" i="4" s="1"/>
  <c r="AR10" i="4" s="1"/>
</calcChain>
</file>

<file path=xl/sharedStrings.xml><?xml version="1.0" encoding="utf-8"?>
<sst xmlns="http://schemas.openxmlformats.org/spreadsheetml/2006/main" count="1111" uniqueCount="427">
  <si>
    <t>Stt</t>
  </si>
  <si>
    <t>Ngân sách Trung ương</t>
  </si>
  <si>
    <t>Ngân sách tỉnh</t>
  </si>
  <si>
    <t>Trong đó</t>
  </si>
  <si>
    <t>Xã đặc biệt khó khăn</t>
  </si>
  <si>
    <t>I</t>
  </si>
  <si>
    <t>II</t>
  </si>
  <si>
    <t xml:space="preserve">Tiểu Dự án 1: Đổi mới hoạt động, củng cố phát triển các trường phổ thông dân tộc nội trú, trường phổ thông dân tộc bán trú, trường phổ thông có học sinh ở bán trú và xóa mù chữ </t>
  </si>
  <si>
    <t>III</t>
  </si>
  <si>
    <t>Tiểu Dự án 1: Đầu tư cơ sở hạ tầng thiết yếu, phục vụ sản xuất, đời sống trong vùng đồng bào DTTS và MN</t>
  </si>
  <si>
    <t>Tổng vốn</t>
  </si>
  <si>
    <t>A</t>
  </si>
  <si>
    <t>B</t>
  </si>
  <si>
    <t>Tiểu dự án 2: Ứng dụng công nghệ thông tin hỗ trợ phát triển kinh tế - xã hội và đảm bảo an ninh trật tự vùng đồng bào dân tộc thiểu số và miền núi</t>
  </si>
  <si>
    <t>Xã Ba Trang</t>
  </si>
  <si>
    <t>TT Ba Tơ</t>
  </si>
  <si>
    <t>Ngân sách huyện</t>
  </si>
  <si>
    <t>Kế hoạch đầu tư công  năm 2022</t>
  </si>
  <si>
    <t>C</t>
  </si>
  <si>
    <t>D</t>
  </si>
  <si>
    <t>Địa điểm đầu tư</t>
  </si>
  <si>
    <t>E</t>
  </si>
  <si>
    <t>1 =2+3+4</t>
  </si>
  <si>
    <t>5=6+7+8</t>
  </si>
  <si>
    <t>Xã Ba Khâm</t>
  </si>
  <si>
    <t>Xã Ba  Liên</t>
  </si>
  <si>
    <t>Xã Ba Thành</t>
  </si>
  <si>
    <t>Xã Ba Điền</t>
  </si>
  <si>
    <t>Xã Ba Vinh</t>
  </si>
  <si>
    <t>Xã Ba Nam</t>
  </si>
  <si>
    <t>Xã Ba Lế</t>
  </si>
  <si>
    <t>Xã Ba Bích</t>
  </si>
  <si>
    <t>Xã Ba Tô</t>
  </si>
  <si>
    <t>Xã Ba Dinh</t>
  </si>
  <si>
    <t>Xã Ba Giang</t>
  </si>
  <si>
    <t>Xã Ba Ngạc</t>
  </si>
  <si>
    <t>Xã Ba Xa</t>
  </si>
  <si>
    <t>Xã Ba Tiêu</t>
  </si>
  <si>
    <t>Xã Ba Vì</t>
  </si>
  <si>
    <t>Vùng An toàn khu</t>
  </si>
  <si>
    <t>Thời gian KC-HT</t>
  </si>
  <si>
    <t>F</t>
  </si>
  <si>
    <t>Trường TH&amp;THCS Ba Vinh; hạng mục khối phòng học tập</t>
  </si>
  <si>
    <t>06 phòng: Âm nhạc, mỹ thuật, công nghệ, khoa học tự nhiên, tin học, ngoại ngữ</t>
  </si>
  <si>
    <t>xã Ba Vinh</t>
  </si>
  <si>
    <t>2022-2023</t>
  </si>
  <si>
    <t>Cầu BTCT tuyến đường UBND xã đi ngã 3 Nước Gia</t>
  </si>
  <si>
    <t>Cầu BTCT</t>
  </si>
  <si>
    <t>2023-2024</t>
  </si>
  <si>
    <t>2024-2025</t>
  </si>
  <si>
    <t>Trường Mầm non Ba Thành, hạng mục:  02 phòng học</t>
  </si>
  <si>
    <t>BTXM tuyến đường nhà ông Bốn đến dốc Quýt</t>
  </si>
  <si>
    <t>BTXM tuyến đường trường Tiểu học đến nhà bà tám Thu</t>
  </si>
  <si>
    <t>BTXM tuyến đường từ ngã ba Hành Tín Tây đến nhà bà Nguyệt</t>
  </si>
  <si>
    <t>02 phòng học</t>
  </si>
  <si>
    <t>xã Ba Thành</t>
  </si>
  <si>
    <t>L=0,7km</t>
  </si>
  <si>
    <t>Đập Nước Manh</t>
  </si>
  <si>
    <t>Thủy lợi cấp IV</t>
  </si>
  <si>
    <t>UBND xã Ba Thành</t>
  </si>
  <si>
    <t>Cầu BTCT tuyến đường UBND xã đi Gò Lút</t>
  </si>
  <si>
    <t>xã Ba Giang</t>
  </si>
  <si>
    <t>2022-2024</t>
  </si>
  <si>
    <t>Nhà văn hóa thôn Ba Nhà</t>
  </si>
  <si>
    <t>Nối tiếp BTXM Nước Lô - Gò Khôn</t>
  </si>
  <si>
    <t>UBND xã Ba Giang</t>
  </si>
  <si>
    <t>Tối thiểu 100 chỗ ngồi</t>
  </si>
  <si>
    <t>0,9km</t>
  </si>
  <si>
    <t>Nâng cấp nhà văn hóa TDP Kon Dung</t>
  </si>
  <si>
    <t>Nâng cấp</t>
  </si>
  <si>
    <t>TDP Kon Dung</t>
  </si>
  <si>
    <t>300m</t>
  </si>
  <si>
    <t>Nâng cấp tuyến kênh từ suối Nước Ren về cánh đồng I On, TDP Uy Năng</t>
  </si>
  <si>
    <t>500m</t>
  </si>
  <si>
    <t>TDP Uy Năng</t>
  </si>
  <si>
    <t>BTXM đường từ nhà ông Thôn đến nhà ông Láng</t>
  </si>
  <si>
    <t>UBND TT Ba Tơ</t>
  </si>
  <si>
    <t>Đường BTXM thôn Bùi Hui (thảo nguyên Bùi Hui)</t>
  </si>
  <si>
    <t>7,5km</t>
  </si>
  <si>
    <t>xã Ba Trang</t>
  </si>
  <si>
    <t xml:space="preserve">Xã ĐBKK </t>
  </si>
  <si>
    <t>Nâng cấp tuyến đường UBND xã đi Nước Giáp</t>
  </si>
  <si>
    <t>5,5km</t>
  </si>
  <si>
    <t>xã Ba Khâm</t>
  </si>
  <si>
    <t>UBND xã Ba Khâm</t>
  </si>
  <si>
    <t>0,7km</t>
  </si>
  <si>
    <t>Trường TH&amp;THCS Ba Liên; hạng mục: 04 phòng học</t>
  </si>
  <si>
    <t>04 phòng (02 phòng học,
 01 phòng ngoại ngữ, 01 phòng tin học); công trình phụ trợ</t>
  </si>
  <si>
    <t>xã Ba Liên</t>
  </si>
  <si>
    <t>Đường BTXM từ Trường TH&amp;THCS xã đến Nhà văn hóa thôn Hương Chiên</t>
  </si>
  <si>
    <t>1,5km</t>
  </si>
  <si>
    <t>Trường Mầm non Ba  Điền, hạng mục:  01 phòng học, tường rào, cổng ngõ, sân vườn, nhà vệ sịnh</t>
  </si>
  <si>
    <t>xã Ba Điền</t>
  </si>
  <si>
    <t>Nhà văn hóa thôn Hy Long</t>
  </si>
  <si>
    <t>Nhà văn hóa thôn Làng Tương</t>
  </si>
  <si>
    <t>Cầu BTCT tuyến đường UBND xã đi thôn Làng Rêu</t>
  </si>
  <si>
    <t>Giao thông cấp IV</t>
  </si>
  <si>
    <t>UBND xã Ba  Điền</t>
  </si>
  <si>
    <t>Nhà cấp III, đảm bảo &gt;100 chỗ ngồi</t>
  </si>
  <si>
    <t>01 phòng học, tường rào, cổng ngõ, sân vườn, nhà vệ sinh</t>
  </si>
  <si>
    <t>Trường TH&amp;THCS Ba Nam; hạng mục: 08 phòng học</t>
  </si>
  <si>
    <t>08 phòng; công trình phụ trợ</t>
  </si>
  <si>
    <t>xã Ba Nam</t>
  </si>
  <si>
    <t>BTXM  nối tiếp UBND Xã đi Mang Tương</t>
  </si>
  <si>
    <t>BTXM  nối tiếp UBND Xã đi Làng Vờ</t>
  </si>
  <si>
    <t>Đập Klăng 2</t>
  </si>
  <si>
    <t>L=15 mét, Tưới cho 4 ha đất lúa</t>
  </si>
  <si>
    <t>Tường rào, cổng ngõ, sân vườn Nhà văn hóa thôn Vã Lế, Đồng Lâu</t>
  </si>
  <si>
    <t>Tường rào, cổng ngõ, sân vườn</t>
  </si>
  <si>
    <t>xã Ba Lế</t>
  </si>
  <si>
    <t>UBND xã Ba Lế</t>
  </si>
  <si>
    <t>Trường TH&amp;THCS Ba Bích; hạng mục: 08 phòng học</t>
  </si>
  <si>
    <t>xã Ba Bích</t>
  </si>
  <si>
    <t>Nhà văn hóa thôn Đồng Vào</t>
  </si>
  <si>
    <t xml:space="preserve">Đường nội bộ khu tái định cư thôn Làng Mâm </t>
  </si>
  <si>
    <t>Tường rào, cổng ngõ Nhà văn hóa thôn Nước Đang, Con Rã</t>
  </si>
  <si>
    <t>Tường rào, cổng ngõ</t>
  </si>
  <si>
    <t>UBND xã Ba Bích</t>
  </si>
  <si>
    <t>Cầu BTCT Làng Chai</t>
  </si>
  <si>
    <t>Cầu BTCT gồm 03 nhịp 
dài khoảng 45m</t>
  </si>
  <si>
    <t>xã Ba Tô</t>
  </si>
  <si>
    <t>Đường BTXM từ Cầu treo -:- Làng Chai 2 (Làng Xi 2)</t>
  </si>
  <si>
    <t>Đường BTXM đi Làng Danh (Làng Mạ)</t>
  </si>
  <si>
    <t>Đường BTXM đi xóm Nước Đi (Làng Mạ)</t>
  </si>
  <si>
    <t>UBND xã Ba Tô</t>
  </si>
  <si>
    <t>Trường Tiểu học Ba Dinh, hạng mục: 02 phòng học tập, 04 phòng hỗ trợ học tập</t>
  </si>
  <si>
    <t>Nâng cấp và BTXM đường GTNT tuyến từ tổ 1 Nước Lang (Đồng Xa) - tổ 3 Kách Lang</t>
  </si>
  <si>
    <t>Nối tiếp BTXM đường GTNT tuyến từ Tổ 3 - Tổ 4 Kách Lang</t>
  </si>
  <si>
    <t>Kiên cố hóa kênh Ma Mang 1, 2 thôn Làng Măng</t>
  </si>
  <si>
    <t xml:space="preserve"> 02 phòng họ, 04
 phòng hỗ trợ học tập (âm nhạc, mỹ thuật, khoa học công nghệ, thiết bị giáo dục)</t>
  </si>
  <si>
    <t>xã Ba Dinh</t>
  </si>
  <si>
    <t>1,4 km</t>
  </si>
  <si>
    <t>0,3km</t>
  </si>
  <si>
    <t>UBND xã Ba Dinh</t>
  </si>
  <si>
    <t>Nâng cấp, mở rộng tuyến đường Krên - Pa Nu - Ba Lăng</t>
  </si>
  <si>
    <t>6km</t>
  </si>
  <si>
    <t>xã Ba Ngạc</t>
  </si>
  <si>
    <t>Nâng cấp, mở rộng tuyến đường Ba Lăng - Tà Noát</t>
  </si>
  <si>
    <t>1,6km</t>
  </si>
  <si>
    <t>UBND xã Ba Ngạc</t>
  </si>
  <si>
    <t xml:space="preserve">Trường Tiểu học Ba Xa, hạng mục: 04 phòng học, 02 phòng hỗ trợ học tập </t>
  </si>
  <si>
    <t>Dân dụng cấp III; 06 phòng,
 02 tầng (04 phòng học, 02 phòng hỗ trợ học tập: Ngoại ngữ, tin học)</t>
  </si>
  <si>
    <t>xã Ba Xa</t>
  </si>
  <si>
    <t>4,5km</t>
  </si>
  <si>
    <t>Đường QL 24 đi Gò Pa Nu</t>
  </si>
  <si>
    <t>xã Ba Tiêu</t>
  </si>
  <si>
    <t>6,5km</t>
  </si>
  <si>
    <t>Xã có thôn ĐBKK</t>
  </si>
  <si>
    <t>Nối tiếp kênh Vả Rò, thôn Nước Xuyên</t>
  </si>
  <si>
    <t>Thôn Nước Xuyên</t>
  </si>
  <si>
    <t>UBND xã Ba Vì</t>
  </si>
  <si>
    <t>BTXM  ngã ba nhà Ông Gây đi nhà Ông Kéo</t>
  </si>
  <si>
    <t>B. DỰ ÁN 2: QUY HOẠCH, SẮP XẾP, BỐ TRÍ, ỔN ĐỊNH DÂN CƯ Ở NHỮNG NƠI CẦN THIẾT</t>
  </si>
  <si>
    <t>C. DỰ ÁN 4: ĐẦU TƯ CƠ SỞ HẠ TẦNG THIẾT YẾU, PHỤC VỤ SẢN XUẤT, ĐỜI SỐNG TRONG VÙNG ĐỒNG BÀO DÂN TỘC THIỂU SỐ VÀ MIỀN NÚI VÀ CÁC ĐƠN VỊ SỰ NGHIỆP CÔNG CỦA LĨNH VỰC DÂN TỘC</t>
  </si>
  <si>
    <t>Khu tái định cư tập trung tại thôn Trà Nô, xã Ba Tô</t>
  </si>
  <si>
    <t>Khu tái định cư tập trung Tổ Đèo Ải, thôn Nước Đang, xã Ba Trang</t>
  </si>
  <si>
    <t>Khu tái định cư tập trung tại thôn Ba Lang (Nước Lá), xã Ba Vinh</t>
  </si>
  <si>
    <t>2023-2025</t>
  </si>
  <si>
    <t>26 hộ</t>
  </si>
  <si>
    <t>21 hộ</t>
  </si>
  <si>
    <t>60 hộ</t>
  </si>
  <si>
    <t>A. DỰ ÁN 1: GIẢI QUYẾT TÌNH TRẠNG THIẾU ĐẤT Ở, NHÀ Ở, ĐẤT SẢN XUẤT, NƯỚC SINH HOẠT</t>
  </si>
  <si>
    <t>D. DỰ ÁN 5: PHÁT TRIỂN GIÁO DỤC ĐÀO TẠO NÂNG CAO CHẤT LƯỢNG NGUỒN NHÂN LỰC</t>
  </si>
  <si>
    <t>Trường PTDT nội trú THCS Ba Tơ; hạng mục: Phòng học tập và các công trình phụ trợ</t>
  </si>
  <si>
    <t>Trường PTDT bán trú TH&amp;THCS Ba Trang; hạng mục: Phòng học tập và các công trình phụ trợ</t>
  </si>
  <si>
    <t>04 phòng ở bán trú, 01 nhà ăn, bếp; 06 phòng hoc và hỗ trợ học tập; 02 nhà vệ sinh</t>
  </si>
  <si>
    <t>Trường PTDT bán trú THCS Ba Xa; hạng mục: Phòng học tập và các công trình phụ trợ</t>
  </si>
  <si>
    <t>04 phòng ở nội trú, 01 nhà ăn, bếp; 04 phòng học và hỗ trợ học tập</t>
  </si>
  <si>
    <t>04 phòng ở bán trú, 01 nhà ăn, bếp; 06 phòng hoc và hỗ trợ học tập;  02 nhà vệ sinh</t>
  </si>
  <si>
    <t>E. DỰ ÁN 6: BẢO TỒN, PHÁT HUY GIÁ TRỊ VĂN HÓA TRUYỀN THỐNG TỐT ĐẸP CỦA CÁC DTTS GẮN VỚI PHÁT TRIỂN DU LỊCH</t>
  </si>
  <si>
    <t>F. DỰ ÁN 10: TRUYỀN THÔNG, TUYÊN TRUYỀN, VẬN ĐỘNG TRONG VÙNG ĐỒNG BÀO DTTS&amp;MN; KIỂM TRA, GIÁM SÁT ĐÁNH GIÁ VIỆC TỔ CHỨC THỰC HIỆN CHƯƠNG TRÌNH</t>
  </si>
  <si>
    <t>Nâng cấp, mở rộng tuyến đường thị trấn Ba Tơ - Ba Dinh</t>
  </si>
  <si>
    <t>4,2km</t>
  </si>
  <si>
    <t>Ghi chú</t>
  </si>
  <si>
    <t>CBĐT</t>
  </si>
  <si>
    <t>Chủ đầu tư</t>
  </si>
  <si>
    <t>Quy mô dự kiến</t>
  </si>
  <si>
    <t>UBND xã Ba Nam</t>
  </si>
  <si>
    <t>UBND huyện</t>
  </si>
  <si>
    <t>1.1</t>
  </si>
  <si>
    <t>1.2</t>
  </si>
  <si>
    <t>2.1</t>
  </si>
  <si>
    <t>2.2</t>
  </si>
  <si>
    <t>2.3</t>
  </si>
  <si>
    <t>2.4</t>
  </si>
  <si>
    <t>2.5</t>
  </si>
  <si>
    <t>3.1</t>
  </si>
  <si>
    <t>3.2</t>
  </si>
  <si>
    <t>3.3</t>
  </si>
  <si>
    <t>4.1</t>
  </si>
  <si>
    <t>4.2</t>
  </si>
  <si>
    <t>4.3</t>
  </si>
  <si>
    <t>4.4</t>
  </si>
  <si>
    <t>4.5</t>
  </si>
  <si>
    <t>5.1</t>
  </si>
  <si>
    <t>5.2</t>
  </si>
  <si>
    <t>5.3</t>
  </si>
  <si>
    <t>5.4</t>
  </si>
  <si>
    <t>6.1</t>
  </si>
  <si>
    <t>6.2</t>
  </si>
  <si>
    <t>6.3</t>
  </si>
  <si>
    <t>6.4</t>
  </si>
  <si>
    <t>7.1</t>
  </si>
  <si>
    <t>7.2</t>
  </si>
  <si>
    <t>7.3</t>
  </si>
  <si>
    <t>7.4</t>
  </si>
  <si>
    <t>7.5</t>
  </si>
  <si>
    <t>8.1</t>
  </si>
  <si>
    <t>8.2</t>
  </si>
  <si>
    <t>8.3</t>
  </si>
  <si>
    <t>8.4</t>
  </si>
  <si>
    <t>9.1</t>
  </si>
  <si>
    <t>9.2</t>
  </si>
  <si>
    <t>9.3</t>
  </si>
  <si>
    <t>9.4</t>
  </si>
  <si>
    <t>10.1</t>
  </si>
  <si>
    <t>10.2</t>
  </si>
  <si>
    <t>10.3</t>
  </si>
  <si>
    <t>10.4</t>
  </si>
  <si>
    <t>11.1</t>
  </si>
  <si>
    <t>11.2</t>
  </si>
  <si>
    <t>12.1</t>
  </si>
  <si>
    <t>12.2</t>
  </si>
  <si>
    <t>13.1</t>
  </si>
  <si>
    <t>Dự án/Tiểu dự án/Địa bàn/Danh mục</t>
  </si>
  <si>
    <t>TỔNG CỘNG (A+B+C+D+E+F)</t>
  </si>
  <si>
    <t>2022-2025</t>
  </si>
  <si>
    <t>Hỗ trợ đất ở</t>
  </si>
  <si>
    <t>Hỗ trợ nhà ở</t>
  </si>
  <si>
    <t>Hỗ trợ đất sản xuất</t>
  </si>
  <si>
    <t>Nước sinh hoạt tập trung</t>
  </si>
  <si>
    <t>Nâng cấp mở rộng nước sinh hoạt Tổ 8 thôn Gò Păng</t>
  </si>
  <si>
    <t>79 hộ</t>
  </si>
  <si>
    <t>Nâng cấp mở rộng nước sinh hoạt Thôn Làng Dút</t>
  </si>
  <si>
    <t>50 hộ</t>
  </si>
  <si>
    <t>Nước sinh hoạt thôn Mang Lùng I xã Ba Tô</t>
  </si>
  <si>
    <t>140 hộ</t>
  </si>
  <si>
    <t>Nước sinh hoạt thôn Hy Long</t>
  </si>
  <si>
    <t>97 hộ</t>
  </si>
  <si>
    <t>Nước sinh hoạt tập trung thôn Gòi Re</t>
  </si>
  <si>
    <t>100 hộ</t>
  </si>
  <si>
    <t>Nước sinh hoạt tập trung Suối Quây, Mang Biều</t>
  </si>
  <si>
    <t>76 hộ</t>
  </si>
  <si>
    <t>63 hộ</t>
  </si>
  <si>
    <t>4.6</t>
  </si>
  <si>
    <t>4.7</t>
  </si>
  <si>
    <t>4.8</t>
  </si>
  <si>
    <t>Nước sinh hoạt thôn Làng Xi 1 xã Ba Tô</t>
  </si>
  <si>
    <t>1=2+3+4</t>
  </si>
  <si>
    <t>Nước sinh hoạt xóm Ông Chớt thôn Làng Tốt</t>
  </si>
  <si>
    <t>Phòng NN&amp;PTNT</t>
  </si>
  <si>
    <t>BQL DAĐTXD&amp;PTQĐ</t>
  </si>
  <si>
    <t>Nâng cấp tuyến đường Mang Krá - Gòi Re</t>
  </si>
  <si>
    <t>Phòng VH-TT</t>
  </si>
  <si>
    <t>Nối tiếp BTXM Gòi Xuyên đi Nước Xuyên</t>
  </si>
  <si>
    <t>Trường Mầm non Ba  Điền, hạng mục:  01 phòng học, tường rào, cổng ngõ, sân vườn, nhà vệ sinh</t>
  </si>
  <si>
    <t>Chưa phân bổ chi tiết</t>
  </si>
  <si>
    <t xml:space="preserve">Nối tiếp BTXM trường Mầm non Hố Sâu - Gò Rốc </t>
  </si>
  <si>
    <t>Hỗ trợ đầu tư xây dựng thiết chế văn hóa thể thao tại các thôn thuộc vùng ĐBDTTS huyện Ba Tơ</t>
  </si>
  <si>
    <t>Mua sắm, trang trí thiết bị bên trong Nhà Văn hóa</t>
  </si>
  <si>
    <t>13 thôn thuộc vùng ĐBDTTS trên địa bàn huyện</t>
  </si>
  <si>
    <t>(Kèm theo Quyết định số                  /QĐ-UBND ngày           /8/2022 của UBND huyện Ba Tơ)</t>
  </si>
  <si>
    <t xml:space="preserve">Ngân sách huyện </t>
  </si>
  <si>
    <t>Sữa chữa nâng cấp Nước sinh hoạt tập trung Nước Lô</t>
  </si>
  <si>
    <t>Dự phòng để lại phân bổ sau</t>
  </si>
  <si>
    <t>9=5-1</t>
  </si>
  <si>
    <t>Nâng cấp, mở rộng tuyến đường QL 24 đi Hồ Núi Ngang</t>
  </si>
  <si>
    <t>319m</t>
  </si>
  <si>
    <t>Giao thông
 nông thôn cấp A theo TCVN 10380-2014 chiều dài L=3750m</t>
  </si>
  <si>
    <t>440m</t>
  </si>
  <si>
    <t>1km</t>
  </si>
  <si>
    <t>L=650m;</t>
  </si>
  <si>
    <t xml:space="preserve">L=800m; </t>
  </si>
  <si>
    <t>247m</t>
  </si>
  <si>
    <t>Trường TH&amp;THCS Ba Điền</t>
  </si>
  <si>
    <t>800m</t>
  </si>
  <si>
    <t>Nối tiếp KCH kênh ruộng Y Nâu</t>
  </si>
  <si>
    <t>Bổ sung danh mục</t>
  </si>
  <si>
    <t>320m</t>
  </si>
  <si>
    <t>Không điều chỉnh</t>
  </si>
  <si>
    <t>2.6</t>
  </si>
  <si>
    <t>UBND thị trấn Ba Tơ</t>
  </si>
  <si>
    <t xml:space="preserve">Giao thông
 nông thôn cấp A </t>
  </si>
  <si>
    <t>3.4</t>
  </si>
  <si>
    <t>BQL DAĐTXD&amp;PTQĐ huyện</t>
  </si>
  <si>
    <t>UBND xã Ba Liên</t>
  </si>
  <si>
    <t>Đập và kênh Nước Bum thôn Nước Đang</t>
  </si>
  <si>
    <t>Đập và kênh</t>
  </si>
  <si>
    <t>Đập và kênh Nước Cốp</t>
  </si>
  <si>
    <t>Đập dài 15m, kênh dài 300m</t>
  </si>
  <si>
    <t>Nối tiếp BTXM từ nghĩa địa đi cánh đồng Đồng Nghệ</t>
  </si>
  <si>
    <t>248m</t>
  </si>
  <si>
    <t>(Kèm theo Nghị quyết số                /NQ-HĐND ngày        /4/2023 của HĐND huyện Ba Tơ)</t>
  </si>
  <si>
    <t xml:space="preserve">PHÂN BỔ KẾ HOẠCH VỐN ĐẦU TƯ NĂM 2023 THỰC HIỆN CHƯƠNG TRÌNH MỤC TIÊU QUỐC GIA
PHÁT TRIỂN KINH TẾ - XÃ HỘI VÙNG ĐỒNG BÀO DÂN TỘC THIỂU SỐ VÀ MIỀN NÚI </t>
  </si>
  <si>
    <t>Hạng mục: 05 phòng hỗ trợ học tập, nhà bảo vệ,  hạng mục khác</t>
  </si>
  <si>
    <t>Chưa phân bổ</t>
  </si>
  <si>
    <t>Danh mục bổ sung từ nguồn tiết kiệm chi qua đấu thầu</t>
  </si>
  <si>
    <t>Ba Trang</t>
  </si>
  <si>
    <t>UBND xã Ba Trang</t>
  </si>
  <si>
    <t>Ba Khâm</t>
  </si>
  <si>
    <t>Ba  Liên</t>
  </si>
  <si>
    <t>Ba Thành</t>
  </si>
  <si>
    <t>Ba Vinh</t>
  </si>
  <si>
    <t>UBND xã Ba Vinh</t>
  </si>
  <si>
    <t>Ba Lế</t>
  </si>
  <si>
    <t>Ba Tô</t>
  </si>
  <si>
    <t>Ba Dinh</t>
  </si>
  <si>
    <t>Ba Giang</t>
  </si>
  <si>
    <t>Ba Tiêu</t>
  </si>
  <si>
    <t>UBND xã Ba Tiêu</t>
  </si>
  <si>
    <t>Ba Vì</t>
  </si>
  <si>
    <t>xã Ba  Liên</t>
  </si>
  <si>
    <t>xã Ba Vì</t>
  </si>
  <si>
    <t>UBND xã Ba Điền</t>
  </si>
  <si>
    <t>UBND xã Ba Xa</t>
  </si>
  <si>
    <t>01 hộ</t>
  </si>
  <si>
    <t>1.3</t>
  </si>
  <si>
    <t>1.4</t>
  </si>
  <si>
    <t>1.5</t>
  </si>
  <si>
    <t>1.6</t>
  </si>
  <si>
    <t>1.7</t>
  </si>
  <si>
    <t>1.8</t>
  </si>
  <si>
    <t>1.9</t>
  </si>
  <si>
    <t>1.10</t>
  </si>
  <si>
    <t>1.11</t>
  </si>
  <si>
    <t>2.7</t>
  </si>
  <si>
    <t>2.8</t>
  </si>
  <si>
    <t>2.9</t>
  </si>
  <si>
    <t>2.10</t>
  </si>
  <si>
    <t>2.11</t>
  </si>
  <si>
    <t>2.12</t>
  </si>
  <si>
    <t>2.13</t>
  </si>
  <si>
    <t>2.14</t>
  </si>
  <si>
    <t>2.15</t>
  </si>
  <si>
    <t>2.16</t>
  </si>
  <si>
    <t>2.17</t>
  </si>
  <si>
    <t>Trường Mầm non Ba Lế</t>
  </si>
  <si>
    <t>03 phòng học và công trình phụ trợ</t>
  </si>
  <si>
    <t>Đvt: Triệu đồng</t>
  </si>
  <si>
    <t>KCH kênh đồng Mang Tinh</t>
  </si>
  <si>
    <t>(Kèm theo Công văn số                  /TCKH ngày           /4/2023 của Phòng TC-KH huyện Ba Tơ)</t>
  </si>
  <si>
    <t xml:space="preserve"> Kế hoạch đầu tư công giai đoạn 2021-2025 đã bố trí đến thời điểm điều chỉnh (Tháng 10/2024)</t>
  </si>
  <si>
    <t>4.9</t>
  </si>
  <si>
    <t>Xã Ba Liên</t>
  </si>
  <si>
    <t xml:space="preserve">ĐIỀU CHỈNH, BỔ SUNG KẾ HOẠCH VỐN ĐẦU TƯ CÔNG TRUNG HẠN GIAI ĐOẠN 2021 -2025 THỰC HIỆN CHƯƠNG TRÌNH MỤC TIÊU QUỐC GIA
PHÁT TRIỂN KINH TẾ - XÃ HỘI VÙNG ĐỒNG BÀO DÂN TỘC THIỂU SỐ VÀ MIỀN NÚI; NGUỒN VỐN: NGÂN SÁCH TRUNG ƯƠNG, TỈNH, HUYỆN </t>
  </si>
  <si>
    <t>Chênh lệch (Tăng (+), giảm (-))</t>
  </si>
  <si>
    <t>Trường TH&amp;THCS Ba Lế; hạng mục: Nhà hiệu bộ, công trình phụ trợ, thiết bị</t>
  </si>
  <si>
    <t>Dân dụng, cấp III</t>
  </si>
  <si>
    <t>Nâng cấp, cải tạo BTXM từ đường Ba Tơ - Ba Bích đi KDC số 3, TDP Kon Dung, thị trấn Ba Tơ</t>
  </si>
  <si>
    <t>730m</t>
  </si>
  <si>
    <t>Thị trấn Ba Tơ</t>
  </si>
  <si>
    <t>2024 - 2025</t>
  </si>
  <si>
    <t>Nâng cấp, cải tạo BTXM từ đường thị trấn Ba Tơ - đi Nước Đang, Ba Bích đến nhà ông Phạm Văn Đếch thuộc TDP Đá Bàn, thị trấn Ba Tơ</t>
  </si>
  <si>
    <t>170 m</t>
  </si>
  <si>
    <t>340m</t>
  </si>
  <si>
    <t>Đường BTXM vào xóm Mang KaRế, thôn Trà Nô</t>
  </si>
  <si>
    <t>9.5</t>
  </si>
  <si>
    <t>8.5</t>
  </si>
  <si>
    <t>2025-2026</t>
  </si>
  <si>
    <t>Năm 2024</t>
  </si>
  <si>
    <t>TƯ</t>
  </si>
  <si>
    <t>T</t>
  </si>
  <si>
    <t>H</t>
  </si>
  <si>
    <t>Năm 2023</t>
  </si>
  <si>
    <t>Khu tái định cư tập trung tổ 4 thôn Nước Lăng xã Ba Xa</t>
  </si>
  <si>
    <t>25 hộ</t>
  </si>
  <si>
    <t>17 hộ</t>
  </si>
  <si>
    <t>Hhỗ trợ nhà ở cho các hộ dân di dời về khu tái định cư tập trung Trà Nô xã Ba Tô</t>
  </si>
  <si>
    <t>Bổ sung</t>
  </si>
  <si>
    <t>Chờ cắt giảm 1 phần</t>
  </si>
  <si>
    <t>BTXM từ cầu Mang thin đi Huy Đăng</t>
  </si>
  <si>
    <t>450m</t>
  </si>
  <si>
    <t>Nối tiếp BTXM đường Huy VLăng - Làng Chùa</t>
  </si>
  <si>
    <t>BTXM tuyến đường từ nhà Ông Trình đến nhà Ông Hồ(Gò Ôn)</t>
  </si>
  <si>
    <t>700m</t>
  </si>
  <si>
    <t>Nối tiếp BTXM tuyến UBND xã đi Gò Lút</t>
  </si>
  <si>
    <t xml:space="preserve">UBND xã Ba Giang </t>
  </si>
  <si>
    <t>600m</t>
  </si>
  <si>
    <t>180m</t>
  </si>
  <si>
    <t>BTXM đường Ba Tơ - Ba Bích đến nhà bà Phạm Thị Lé, TDP Kon Dung</t>
  </si>
  <si>
    <t>UBND thị trấn</t>
  </si>
  <si>
    <t>130 m</t>
  </si>
  <si>
    <t>Đường BTXM từ nhà ông Đức đến nhà ông Trin, TDP Kon Dung</t>
  </si>
  <si>
    <t>100 m</t>
  </si>
  <si>
    <t>Hệ thống điện sinh hoạt: Tuyến 1 từ nhà ông Phạm Văn Hồng đến nhà ông Phạm Văn Mỹ (Tổ tự quản số 16, TDP Kon Dung)</t>
  </si>
  <si>
    <t>370 m</t>
  </si>
  <si>
    <t>Hệ thống điện sinh hoạt: Tuyến 2 từ trụ Ba Tơ 7/B12/2 đến nhà ông Phạm Văn Cháy, TDP Kon Dung</t>
  </si>
  <si>
    <t>510 m</t>
  </si>
  <si>
    <t xml:space="preserve">Nối tiếp Công trình: BTXM tổ Tài Lụi đi Sa Lung </t>
  </si>
  <si>
    <t>811m</t>
  </si>
  <si>
    <t>Thôn Kon Riêng</t>
  </si>
  <si>
    <t>BTXM từ ngã ba Lâm Trường đi Hố Sâu</t>
  </si>
  <si>
    <t>L=500m</t>
  </si>
  <si>
    <t xml:space="preserve">Tuyến đường từ Đèo Đá Chát đi trụ sở UBND xã </t>
  </si>
  <si>
    <t>712m</t>
  </si>
  <si>
    <t>Tuyến đường DT 624 - Gò Nẻ; Hạng mục: Mở rộng tuyến và nâng cấp hệ thống thoát nước dọc</t>
  </si>
  <si>
    <t>Kênh A Nẻ</t>
  </si>
  <si>
    <t>170m</t>
  </si>
  <si>
    <t>269m</t>
  </si>
  <si>
    <t>430m</t>
  </si>
  <si>
    <t>BTXM nối tiếp  UBND xã đi Làng Vờ</t>
  </si>
  <si>
    <t>BTXM nối tiếp  UBND xã đi Mang Tương</t>
  </si>
  <si>
    <t>Tuyến đường từ cầu Con Rã vào xóm nhà ông Sân - thôn Con Rã</t>
  </si>
  <si>
    <t>455m</t>
  </si>
  <si>
    <t>Đường BTXM từ Làng Chai 2 -:- VLau (Làng Xi 2)</t>
  </si>
  <si>
    <t>770m</t>
  </si>
  <si>
    <t>Nối tiếp BTXM đường GTNT tuyến Quốc lộ 24 (km35+850) - Tổ 2 Nước Lang (Đồng Xa)</t>
  </si>
  <si>
    <t>Nối tiếp BTXM từ nhà ông Phạm Văn Oa đến xóm ông Phạm Văn Tin thôn Kách Lang</t>
  </si>
  <si>
    <t>280m</t>
  </si>
  <si>
    <t>Kênh mương Krên tưới cho cánh đồng Krên</t>
  </si>
  <si>
    <t>742m</t>
  </si>
  <si>
    <t>Nối tiếp đường BTXM từ nhà ông Quên đến suối Nước Chạch, thôn Nước Chạch</t>
  </si>
  <si>
    <t>485m</t>
  </si>
  <si>
    <t xml:space="preserve">Nối tiếp đường BTXM tuyến đường từ suối Pa Nu đến nhà  Ông Phạm Văn Thẻo </t>
  </si>
  <si>
    <t>804m</t>
  </si>
  <si>
    <t xml:space="preserve">BTXM tuyến đường Đồng Rò- Nước Xuyên </t>
  </si>
  <si>
    <t xml:space="preserve">UBND xã Ba Vì </t>
  </si>
  <si>
    <t xml:space="preserve">102m </t>
  </si>
  <si>
    <t>E. Dự án 6: Bảo tồn, phát huy giá trị văn hóa truyền thống tốt đẹp của các dân tộc thiểu số gắn với phát triển du lịch</t>
  </si>
  <si>
    <t>Hỗ trợ đầu tư điểm đến du lịch tiêu biểu làng Bùi Hui (Thảo nguyên Bùi Hui)</t>
  </si>
  <si>
    <t>Phòng KT&amp;HT</t>
  </si>
  <si>
    <t>Bổ sung vốn</t>
  </si>
  <si>
    <t>Giải quyết nhà vệ sinh lưu động, lắp đặt bản chỉ dẫn, xây dựng trang thông tin, đường  nội bộ</t>
  </si>
  <si>
    <t xml:space="preserve"> Kế hoạch đầu tư công giai đoạn 2021-2025 đã ban hành </t>
  </si>
  <si>
    <t xml:space="preserve"> </t>
  </si>
  <si>
    <t xml:space="preserve"> Kế hoạch đầu tư công giai đoạn 2021-2025 sau điều chỉnh</t>
  </si>
  <si>
    <t>(Kèm theo Tờ trình số:       /TTr-UBND ngày     tháng 10 năm 2024 của UBND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</si>
</sst>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00"/>
    <numFmt numFmtId="169" formatCode="_ &quot;\&quot;* #,##0_ ;_ &quot;\&quot;* \-#,##0_ ;_ &quot;\&quot;* &quot;-&quot;_ ;_ @_ "/>
    <numFmt numFmtId="170" formatCode="_ * #,##0_)\ &quot;F&quot;_ ;_ * \(#,##0\)\ &quot;F&quot;_ ;_ * &quot;-&quot;_)\ &quot;F&quot;_ ;_ @_ "/>
    <numFmt numFmtId="171" formatCode="_ * #,##0_)\ _$_ ;_ * \(#,##0\)\ _$_ ;_ * &quot;-&quot;_)\ _$_ ;_ @_ "/>
    <numFmt numFmtId="172" formatCode="_ * #,##0_ ;_ * \-#,##0_ ;_ * &quot;-&quot;_ ;_ @_ "/>
    <numFmt numFmtId="173" formatCode="_ * #,##0.00_ ;_ * \-#,##0.00_ ;_ * &quot;-&quot;??_ ;_ @_ "/>
    <numFmt numFmtId="174" formatCode="&quot;\&quot;#,##0;[Red]\-&quot;\&quot;#,##0"/>
    <numFmt numFmtId="175" formatCode="&quot;\&quot;#,##0.00;\-&quot;\&quot;#,##0.00"/>
    <numFmt numFmtId="176" formatCode="_-&quot;$&quot;* #,##0_-;\-&quot;$&quot;* #,##0_-;_-&quot;$&quot;* &quot;-&quot;_-;_-@_-"/>
    <numFmt numFmtId="177" formatCode="_-&quot;$&quot;* #,##0.00_-;\-&quot;$&quot;* #,##0.00_-;_-&quot;$&quot;* &quot;-&quot;??_-;_-@_-"/>
    <numFmt numFmtId="178" formatCode="_-&quot;£&quot;* #,##0.00_-;\-&quot;£&quot;* #,##0.00_-;_-&quot;£&quot;* &quot;-&quot;??_-;_-@_-"/>
    <numFmt numFmtId="179" formatCode="#,##0.0000_);\(#,##0.0000\)"/>
    <numFmt numFmtId="180" formatCode="#,##0.0_);\(#,##0.0\)"/>
    <numFmt numFmtId="181" formatCode="_(* #,##0.0_);_(* \(#,##0.0\);_(* &quot;-&quot;?_);_(@_)"/>
  </numFmts>
  <fonts count="75">
    <font>
      <sz val="11"/>
      <color theme="1"/>
      <name val="Calibri"/>
      <family val="2"/>
      <scheme val="minor"/>
    </font>
    <font>
      <sz val="11"/>
      <color theme="1"/>
      <name val="Calibri"/>
      <family val="2"/>
      <scheme val="minor"/>
    </font>
    <font>
      <sz val="13"/>
      <color theme="1"/>
      <name val="Times New Roman"/>
      <family val="1"/>
    </font>
    <font>
      <b/>
      <sz val="13"/>
      <color theme="1"/>
      <name val="Times New Roman"/>
      <family val="1"/>
    </font>
    <font>
      <sz val="12"/>
      <name val="Times New Roman"/>
      <family val="1"/>
    </font>
    <font>
      <sz val="12"/>
      <color theme="1"/>
      <name val="Times New Roman"/>
      <family val="1"/>
    </font>
    <font>
      <b/>
      <sz val="12"/>
      <color theme="1"/>
      <name val="Times New Roman"/>
      <family val="1"/>
    </font>
    <font>
      <b/>
      <i/>
      <sz val="12"/>
      <color theme="1"/>
      <name val="Times New Roman"/>
      <family val="1"/>
    </font>
    <font>
      <b/>
      <i/>
      <sz val="13"/>
      <color theme="1"/>
      <name val="Times New Roman"/>
      <family val="1"/>
    </font>
    <font>
      <sz val="10"/>
      <color theme="1"/>
      <name val="Times New Roman"/>
      <family val="1"/>
    </font>
    <font>
      <sz val="11"/>
      <color indexed="8"/>
      <name val="Calibri"/>
      <family val="2"/>
    </font>
    <font>
      <sz val="10"/>
      <name val="Arial"/>
      <family val="2"/>
    </font>
    <font>
      <sz val="12"/>
      <name val=".VnTime"/>
      <family val="2"/>
    </font>
    <font>
      <sz val="12"/>
      <name val=".VnArial"/>
      <family val="2"/>
    </font>
    <font>
      <sz val="10"/>
      <name val=".VnTime"/>
      <family val="2"/>
    </font>
    <font>
      <sz val="10"/>
      <name val="AngsanaUPC"/>
      <family val="1"/>
    </font>
    <font>
      <sz val="12"/>
      <name val="|??¢¥¢¬¨Ï"/>
      <family val="1"/>
      <charset val="129"/>
    </font>
    <font>
      <sz val="12"/>
      <name val="???"/>
    </font>
    <font>
      <sz val="11"/>
      <name val=".VnTime"/>
      <family val="2"/>
    </font>
    <font>
      <sz val="12"/>
      <color indexed="8"/>
      <name val="¹ÙÅÁÃ¼"/>
      <family val="1"/>
      <charset val="129"/>
    </font>
    <font>
      <sz val="14"/>
      <name val="VNI-Times"/>
    </font>
    <font>
      <sz val="12"/>
      <name val="¹UAAA¼"/>
      <family val="3"/>
      <charset val="129"/>
    </font>
    <font>
      <sz val="12"/>
      <name val="¹ÙÅÁÃ¼"/>
      <charset val="129"/>
    </font>
    <font>
      <sz val="12"/>
      <name val="¹UAAA¼"/>
      <family val="3"/>
      <charset val="128"/>
    </font>
    <font>
      <sz val="10"/>
      <name val="Times New Roman"/>
      <family val="1"/>
      <charset val="163"/>
    </font>
    <font>
      <sz val="12"/>
      <name val="¹ÙÅÁÃ¼"/>
      <family val="1"/>
      <charset val="129"/>
    </font>
    <font>
      <sz val="14"/>
      <name val="Times New Roman"/>
      <family val="1"/>
      <charset val="163"/>
    </font>
    <font>
      <sz val="11"/>
      <color indexed="8"/>
      <name val="Arial"/>
      <family val="2"/>
      <charset val="163"/>
    </font>
    <font>
      <sz val="10"/>
      <name val="Arial"/>
      <family val="2"/>
      <charset val="163"/>
    </font>
    <font>
      <sz val="12"/>
      <color indexed="8"/>
      <name val="바탕체"/>
      <family val="3"/>
    </font>
    <font>
      <sz val="12"/>
      <name val="바탕체"/>
      <family val="1"/>
      <charset val="129"/>
    </font>
    <font>
      <sz val="11"/>
      <color indexed="8"/>
      <name val="Helvetica Neue"/>
    </font>
    <font>
      <sz val="11"/>
      <color theme="1"/>
      <name val="Calibri"/>
      <family val="2"/>
    </font>
    <font>
      <sz val="11"/>
      <color theme="1"/>
      <name val="Calibri"/>
      <family val="2"/>
      <charset val="163"/>
      <scheme val="minor"/>
    </font>
    <font>
      <sz val="12"/>
      <color theme="1"/>
      <name val="Times New Roman"/>
      <family val="2"/>
      <charset val="163"/>
    </font>
    <font>
      <b/>
      <sz val="10"/>
      <color theme="1"/>
      <name val="Times New Roman"/>
      <family val="1"/>
    </font>
    <font>
      <sz val="10"/>
      <name val="Times New Roman"/>
      <family val="1"/>
    </font>
    <font>
      <b/>
      <sz val="12"/>
      <name val="Times New Roman"/>
      <family val="1"/>
    </font>
    <font>
      <i/>
      <sz val="13"/>
      <color theme="1"/>
      <name val="Times New Roman"/>
      <family val="1"/>
    </font>
    <font>
      <b/>
      <sz val="12"/>
      <color rgb="FFFF0000"/>
      <name val="Times New Roman"/>
      <family val="1"/>
    </font>
    <font>
      <b/>
      <i/>
      <sz val="12"/>
      <color rgb="FFFF0000"/>
      <name val="Times New Roman"/>
      <family val="1"/>
    </font>
    <font>
      <b/>
      <sz val="11"/>
      <color rgb="FFFF0000"/>
      <name val="Times New Roman"/>
      <family val="1"/>
    </font>
    <font>
      <sz val="9.5"/>
      <name val=".VnArial Narrow"/>
      <family val="2"/>
    </font>
    <font>
      <i/>
      <sz val="10"/>
      <name val="Times New Roman"/>
      <family val="1"/>
    </font>
    <font>
      <i/>
      <sz val="12"/>
      <name val="Times New Roman"/>
      <family val="1"/>
    </font>
    <font>
      <b/>
      <i/>
      <sz val="12"/>
      <name val="Times New Roman"/>
      <family val="1"/>
    </font>
    <font>
      <b/>
      <sz val="9.5"/>
      <name val=".VnArial Narrow"/>
      <family val="2"/>
    </font>
    <font>
      <sz val="9.5"/>
      <name val="Times New Roman"/>
      <family val="1"/>
    </font>
    <font>
      <i/>
      <sz val="9"/>
      <name val="Times New Roman"/>
      <family val="1"/>
    </font>
    <font>
      <b/>
      <sz val="13"/>
      <name val="Times New Roman"/>
      <family val="1"/>
    </font>
    <font>
      <sz val="13"/>
      <name val="Times New Roman"/>
      <family val="1"/>
    </font>
    <font>
      <i/>
      <sz val="13"/>
      <name val="Times New Roman"/>
      <family val="1"/>
    </font>
    <font>
      <b/>
      <i/>
      <sz val="13"/>
      <name val="Times New Roman"/>
      <family val="1"/>
    </font>
    <font>
      <b/>
      <sz val="11"/>
      <name val="Times New Roman"/>
      <family val="1"/>
    </font>
    <font>
      <sz val="8"/>
      <name val=".VnArial Narrow"/>
      <family val="2"/>
    </font>
    <font>
      <sz val="13"/>
      <name val="Times New Roman"/>
      <family val="1"/>
      <charset val="163"/>
    </font>
    <font>
      <b/>
      <sz val="10"/>
      <name val="Times New Roman"/>
      <family val="1"/>
    </font>
    <font>
      <b/>
      <sz val="10"/>
      <name val=".VnArial Narrow"/>
      <family val="2"/>
    </font>
    <font>
      <sz val="10"/>
      <name val=".VnArial Narrow"/>
      <family val="2"/>
    </font>
    <font>
      <b/>
      <i/>
      <sz val="10"/>
      <name val="Times New Roman"/>
      <family val="1"/>
    </font>
    <font>
      <b/>
      <i/>
      <sz val="9.5"/>
      <name val=".VnArial Narrow"/>
      <family val="2"/>
    </font>
    <font>
      <i/>
      <sz val="9.5"/>
      <name val=".VnArial Narrow"/>
      <family val="2"/>
    </font>
    <font>
      <b/>
      <i/>
      <sz val="9"/>
      <name val="Times New Roman"/>
      <family val="1"/>
    </font>
    <font>
      <i/>
      <sz val="10"/>
      <name val="Times New Roman"/>
      <family val="1"/>
      <charset val="163"/>
    </font>
    <font>
      <b/>
      <i/>
      <sz val="10"/>
      <name val=".VnArial Narrow"/>
      <family val="2"/>
    </font>
    <font>
      <sz val="12"/>
      <color rgb="FFFF0000"/>
      <name val="Times New Roman"/>
      <family val="1"/>
    </font>
    <font>
      <sz val="10"/>
      <color rgb="FFFF0000"/>
      <name val="Times New Roman"/>
      <family val="1"/>
    </font>
    <font>
      <b/>
      <sz val="9.5"/>
      <color rgb="FFFF0000"/>
      <name val=".VnArial Narrow"/>
      <family val="2"/>
    </font>
    <font>
      <sz val="9.5"/>
      <color rgb="FFFF0000"/>
      <name val=".VnArial Narrow"/>
      <family val="2"/>
    </font>
    <font>
      <sz val="9.5"/>
      <color rgb="FFFF0000"/>
      <name val="Times New Roman"/>
      <family val="1"/>
    </font>
    <font>
      <sz val="10"/>
      <color rgb="FFFF0000"/>
      <name val=".VnArial Narrow"/>
      <family val="2"/>
    </font>
    <font>
      <i/>
      <sz val="9"/>
      <color rgb="FFFF0000"/>
      <name val="Times New Roman"/>
      <family val="1"/>
    </font>
    <font>
      <sz val="8"/>
      <name val="Calibri"/>
      <family val="2"/>
      <scheme val="minor"/>
    </font>
    <font>
      <sz val="13"/>
      <color rgb="FFFF0000"/>
      <name val="Times New Roman"/>
      <family val="1"/>
    </font>
    <font>
      <sz val="8"/>
      <name val="Times New Roman"/>
      <family val="1"/>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9">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Protection="0"/>
    <xf numFmtId="0" fontId="13" fillId="0" borderId="0" applyFont="0" applyFill="0" applyBorder="0" applyAlignment="0" applyProtection="0"/>
    <xf numFmtId="168" fontId="14" fillId="0" borderId="0" applyFont="0" applyFill="0" applyBorder="0" applyAlignment="0" applyProtection="0"/>
    <xf numFmtId="0" fontId="1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6" fillId="0" borderId="0"/>
    <xf numFmtId="169" fontId="17" fillId="0" borderId="0" applyFont="0" applyFill="0" applyBorder="0" applyAlignment="0" applyProtection="0"/>
    <xf numFmtId="0" fontId="18" fillId="4" borderId="0"/>
    <xf numFmtId="9" fontId="19" fillId="0" borderId="0" applyBorder="0" applyAlignment="0" applyProtection="0"/>
    <xf numFmtId="0" fontId="18" fillId="4" borderId="0"/>
    <xf numFmtId="0" fontId="18" fillId="4" borderId="0"/>
    <xf numFmtId="0" fontId="18" fillId="0" borderId="0">
      <alignment wrapText="1"/>
    </xf>
    <xf numFmtId="170" fontId="20" fillId="0" borderId="0" applyFont="0" applyFill="0" applyBorder="0" applyAlignment="0" applyProtection="0"/>
    <xf numFmtId="0" fontId="21" fillId="0" borderId="0" applyFont="0" applyFill="0" applyBorder="0" applyAlignment="0" applyProtection="0"/>
    <xf numFmtId="171" fontId="20" fillId="0" borderId="0" applyFont="0" applyFill="0" applyBorder="0" applyAlignment="0" applyProtection="0"/>
    <xf numFmtId="0" fontId="21" fillId="0" borderId="0" applyFont="0" applyFill="0" applyBorder="0" applyAlignment="0" applyProtection="0"/>
    <xf numFmtId="172" fontId="22" fillId="0" borderId="0" applyFont="0" applyFill="0" applyBorder="0" applyAlignment="0" applyProtection="0"/>
    <xf numFmtId="0" fontId="23" fillId="0" borderId="0" applyFont="0" applyFill="0" applyBorder="0" applyAlignment="0" applyProtection="0"/>
    <xf numFmtId="173" fontId="22" fillId="0" borderId="0" applyFont="0" applyFill="0" applyBorder="0" applyAlignment="0" applyProtection="0"/>
    <xf numFmtId="0" fontId="23" fillId="0" borderId="0" applyFont="0" applyFill="0" applyBorder="0" applyAlignment="0" applyProtection="0"/>
    <xf numFmtId="0" fontId="23" fillId="0" borderId="0"/>
    <xf numFmtId="0" fontId="24" fillId="0" borderId="0"/>
    <xf numFmtId="0" fontId="23" fillId="0" borderId="0"/>
    <xf numFmtId="0" fontId="25" fillId="0" borderId="0"/>
    <xf numFmtId="43" fontId="10" fillId="0" borderId="0" applyFont="0" applyFill="0" applyBorder="0" applyAlignment="0" applyProtection="0"/>
    <xf numFmtId="43" fontId="2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6" fontId="27"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78" fontId="11"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74" fontId="28" fillId="0" borderId="0" applyFont="0" applyFill="0" applyBorder="0" applyAlignment="0" applyProtection="0"/>
    <xf numFmtId="175" fontId="28" fillId="0" borderId="0" applyFont="0" applyFill="0" applyBorder="0" applyAlignment="0" applyProtection="0"/>
    <xf numFmtId="0" fontId="32" fillId="0" borderId="0"/>
    <xf numFmtId="0" fontId="32" fillId="0" borderId="0"/>
    <xf numFmtId="0" fontId="10" fillId="0" borderId="0"/>
    <xf numFmtId="0" fontId="28" fillId="0" borderId="0"/>
    <xf numFmtId="0" fontId="26" fillId="0" borderId="0"/>
    <xf numFmtId="0" fontId="33" fillId="0" borderId="0"/>
    <xf numFmtId="0" fontId="11" fillId="0" borderId="0"/>
    <xf numFmtId="0" fontId="34" fillId="0" borderId="0" applyAlignment="0"/>
    <xf numFmtId="0" fontId="11" fillId="0" borderId="0"/>
    <xf numFmtId="0" fontId="1" fillId="0" borderId="0"/>
    <xf numFmtId="0" fontId="31" fillId="0" borderId="0" applyNumberFormat="0" applyFill="0" applyBorder="0" applyProtection="0">
      <alignment vertical="top"/>
    </xf>
    <xf numFmtId="0" fontId="12" fillId="0" borderId="0"/>
    <xf numFmtId="0" fontId="10" fillId="0" borderId="0"/>
    <xf numFmtId="9" fontId="11" fillId="0" borderId="0" applyFont="0" applyFill="0" applyBorder="0" applyAlignment="0" applyProtection="0"/>
    <xf numFmtId="9" fontId="10" fillId="0" borderId="0" applyFont="0" applyFill="0" applyBorder="0" applyAlignment="0" applyProtection="0"/>
    <xf numFmtId="9" fontId="29" fillId="0" borderId="0" applyBorder="0" applyAlignment="0" applyProtection="0"/>
    <xf numFmtId="0" fontId="30" fillId="0" borderId="0" applyFont="0" applyFill="0" applyBorder="0" applyAlignment="0" applyProtection="0"/>
    <xf numFmtId="0" fontId="30" fillId="0" borderId="0" applyFon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0" fontId="11" fillId="0" borderId="0"/>
    <xf numFmtId="0" fontId="11" fillId="0" borderId="0"/>
  </cellStyleXfs>
  <cellXfs count="246">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167" fontId="6" fillId="0" borderId="1" xfId="1" applyNumberFormat="1" applyFont="1" applyFill="1" applyBorder="1" applyAlignment="1">
      <alignment horizontal="center" vertical="center"/>
    </xf>
    <xf numFmtId="167" fontId="5" fillId="0" borderId="1" xfId="1" applyNumberFormat="1" applyFont="1" applyFill="1" applyBorder="1" applyAlignment="1">
      <alignment horizontal="center" vertical="center"/>
    </xf>
    <xf numFmtId="0" fontId="6" fillId="0" borderId="0" xfId="0" applyFont="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167" fontId="5" fillId="0" borderId="1" xfId="0" applyNumberFormat="1" applyFont="1" applyBorder="1" applyAlignment="1">
      <alignment horizontal="center" vertical="center"/>
    </xf>
    <xf numFmtId="3" fontId="6" fillId="0" borderId="1" xfId="0" applyNumberFormat="1" applyFont="1" applyBorder="1" applyAlignment="1">
      <alignment horizontal="right" vertical="center" wrapText="1"/>
    </xf>
    <xf numFmtId="0" fontId="6" fillId="2" borderId="0" xfId="0" applyFont="1" applyFill="1" applyAlignment="1">
      <alignment horizontal="center" vertical="center"/>
    </xf>
    <xf numFmtId="167" fontId="6" fillId="0" borderId="1" xfId="0" applyNumberFormat="1" applyFont="1" applyBorder="1" applyAlignment="1">
      <alignment horizontal="center" vertical="center"/>
    </xf>
    <xf numFmtId="167" fontId="9" fillId="0" borderId="1" xfId="0" applyNumberFormat="1" applyFont="1" applyBorder="1" applyAlignment="1">
      <alignment horizontal="left" vertical="center" wrapText="1"/>
    </xf>
    <xf numFmtId="167" fontId="9" fillId="0" borderId="1" xfId="0" applyNumberFormat="1" applyFont="1" applyBorder="1" applyAlignment="1">
      <alignment horizontal="center" vertical="center" wrapText="1"/>
    </xf>
    <xf numFmtId="167" fontId="6" fillId="0" borderId="0" xfId="0" applyNumberFormat="1"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167" fontId="6" fillId="2" borderId="1" xfId="1" applyNumberFormat="1" applyFont="1" applyFill="1" applyBorder="1" applyAlignment="1">
      <alignment horizontal="center" vertical="center" wrapText="1"/>
    </xf>
    <xf numFmtId="3" fontId="6" fillId="3" borderId="1" xfId="0" applyNumberFormat="1" applyFont="1" applyFill="1" applyBorder="1" applyAlignment="1">
      <alignment horizontal="righ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0" xfId="0" applyFont="1" applyFill="1" applyAlignment="1">
      <alignment horizontal="center" vertical="center"/>
    </xf>
    <xf numFmtId="167" fontId="6" fillId="0" borderId="0" xfId="0" applyNumberFormat="1" applyFont="1" applyAlignment="1">
      <alignment horizontal="right" vertical="center"/>
    </xf>
    <xf numFmtId="179" fontId="6" fillId="0" borderId="0" xfId="0" applyNumberFormat="1" applyFont="1" applyAlignment="1">
      <alignment horizontal="center" vertical="center"/>
    </xf>
    <xf numFmtId="3" fontId="3" fillId="2" borderId="1" xfId="0" applyNumberFormat="1" applyFont="1" applyFill="1" applyBorder="1" applyAlignment="1">
      <alignment vertical="center" wrapText="1"/>
    </xf>
    <xf numFmtId="0" fontId="8" fillId="0" borderId="0" xfId="0" applyFont="1" applyAlignment="1">
      <alignment horizontal="righ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167" fontId="36" fillId="0" borderId="1" xfId="0" applyNumberFormat="1" applyFont="1" applyBorder="1" applyAlignment="1">
      <alignment horizontal="left" vertical="center" wrapText="1"/>
    </xf>
    <xf numFmtId="167" fontId="36" fillId="0" borderId="1" xfId="0" applyNumberFormat="1" applyFont="1" applyBorder="1" applyAlignment="1">
      <alignment horizontal="center" vertical="center" wrapText="1"/>
    </xf>
    <xf numFmtId="167" fontId="4" fillId="0" borderId="1" xfId="1" applyNumberFormat="1" applyFont="1" applyFill="1" applyBorder="1" applyAlignment="1">
      <alignment horizontal="center" vertical="center"/>
    </xf>
    <xf numFmtId="3" fontId="37" fillId="0" borderId="1" xfId="0" applyNumberFormat="1" applyFont="1" applyBorder="1" applyAlignment="1">
      <alignment horizontal="right" vertical="center" wrapText="1"/>
    </xf>
    <xf numFmtId="167" fontId="4" fillId="0" borderId="1" xfId="0" applyNumberFormat="1" applyFont="1" applyBorder="1" applyAlignment="1">
      <alignment horizontal="center" vertical="center"/>
    </xf>
    <xf numFmtId="167" fontId="37" fillId="0" borderId="0" xfId="0" applyNumberFormat="1" applyFont="1" applyAlignment="1">
      <alignment horizontal="right" vertical="center"/>
    </xf>
    <xf numFmtId="0" fontId="4" fillId="0" borderId="0" xfId="0" applyFont="1" applyAlignment="1">
      <alignment horizontal="center" vertical="center"/>
    </xf>
    <xf numFmtId="3" fontId="6" fillId="5" borderId="1" xfId="0" applyNumberFormat="1" applyFont="1" applyFill="1" applyBorder="1" applyAlignment="1">
      <alignment horizontal="right" vertical="center" wrapText="1"/>
    </xf>
    <xf numFmtId="0" fontId="6" fillId="5" borderId="0" xfId="0" applyFont="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167" fontId="3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5" borderId="1" xfId="0" applyFont="1" applyFill="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41" fillId="2" borderId="0" xfId="0" applyFont="1" applyFill="1" applyAlignment="1">
      <alignment horizontal="center" vertical="center"/>
    </xf>
    <xf numFmtId="3" fontId="42" fillId="0" borderId="1" xfId="0" applyNumberFormat="1" applyFont="1" applyBorder="1" applyAlignment="1">
      <alignment horizontal="right" vertical="center" wrapText="1"/>
    </xf>
    <xf numFmtId="167" fontId="42" fillId="0" borderId="1" xfId="1" applyNumberFormat="1" applyFont="1" applyFill="1" applyBorder="1" applyAlignment="1">
      <alignment horizontal="center" vertical="center"/>
    </xf>
    <xf numFmtId="167" fontId="37" fillId="0" borderId="0" xfId="0" applyNumberFormat="1" applyFont="1" applyAlignment="1">
      <alignment horizontal="center" vertical="center"/>
    </xf>
    <xf numFmtId="0" fontId="37" fillId="0" borderId="0" xfId="0" applyFont="1" applyAlignment="1">
      <alignment horizontal="center" vertical="center"/>
    </xf>
    <xf numFmtId="0" fontId="7" fillId="0" borderId="0" xfId="0" applyFont="1" applyAlignment="1">
      <alignment horizontal="center" vertical="center"/>
    </xf>
    <xf numFmtId="167" fontId="36" fillId="3" borderId="1" xfId="0" applyNumberFormat="1" applyFont="1" applyFill="1" applyBorder="1" applyAlignment="1">
      <alignment horizontal="left" vertical="center" wrapText="1"/>
    </xf>
    <xf numFmtId="3" fontId="42" fillId="3" borderId="1" xfId="0" applyNumberFormat="1" applyFont="1" applyFill="1" applyBorder="1" applyAlignment="1">
      <alignment horizontal="right" vertical="center" wrapText="1"/>
    </xf>
    <xf numFmtId="3" fontId="47" fillId="3" borderId="1" xfId="0" applyNumberFormat="1" applyFont="1" applyFill="1" applyBorder="1" applyAlignment="1">
      <alignment horizontal="center" vertical="center" wrapText="1"/>
    </xf>
    <xf numFmtId="3" fontId="48" fillId="3" borderId="1" xfId="0" applyNumberFormat="1" applyFont="1" applyFill="1" applyBorder="1" applyAlignment="1">
      <alignment horizontal="center" vertical="center" wrapText="1"/>
    </xf>
    <xf numFmtId="3" fontId="48" fillId="3" borderId="0" xfId="0" applyNumberFormat="1" applyFont="1" applyFill="1" applyAlignment="1">
      <alignment horizontal="center" vertical="center" wrapText="1"/>
    </xf>
    <xf numFmtId="167" fontId="37" fillId="3" borderId="0" xfId="0" applyNumberFormat="1" applyFont="1" applyFill="1" applyAlignment="1">
      <alignment horizontal="right" vertical="center"/>
    </xf>
    <xf numFmtId="167" fontId="37" fillId="3" borderId="0" xfId="0" applyNumberFormat="1" applyFont="1" applyFill="1" applyAlignment="1">
      <alignment horizontal="center" vertical="center"/>
    </xf>
    <xf numFmtId="0" fontId="37" fillId="3" borderId="0" xfId="0" applyFont="1" applyFill="1" applyAlignment="1">
      <alignment horizontal="center" vertical="center"/>
    </xf>
    <xf numFmtId="0" fontId="49" fillId="0" borderId="0" xfId="0" applyFont="1" applyAlignment="1">
      <alignment horizontal="center"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51" fillId="0" borderId="5" xfId="0" applyFont="1" applyBorder="1" applyAlignment="1">
      <alignment vertical="center"/>
    </xf>
    <xf numFmtId="0" fontId="52" fillId="0" borderId="0" xfId="0" applyFont="1" applyAlignment="1">
      <alignment horizontal="right" vertical="center"/>
    </xf>
    <xf numFmtId="0" fontId="37" fillId="0" borderId="0" xfId="0" applyFont="1" applyAlignment="1">
      <alignment horizontal="center" vertical="center" wrapText="1"/>
    </xf>
    <xf numFmtId="3" fontId="37" fillId="0" borderId="0" xfId="0" applyNumberFormat="1" applyFont="1" applyAlignment="1">
      <alignment horizontal="center" vertical="center"/>
    </xf>
    <xf numFmtId="0" fontId="54" fillId="0" borderId="1" xfId="0" applyFont="1" applyBorder="1" applyAlignment="1">
      <alignment horizontal="center" vertical="center" wrapText="1"/>
    </xf>
    <xf numFmtId="0" fontId="54" fillId="0" borderId="1" xfId="0" quotePrefix="1" applyFont="1" applyBorder="1" applyAlignment="1">
      <alignment horizontal="center" vertical="center" wrapText="1"/>
    </xf>
    <xf numFmtId="0" fontId="36" fillId="0" borderId="0" xfId="0" quotePrefix="1" applyFont="1" applyAlignment="1">
      <alignment horizontal="center" vertical="center" wrapText="1"/>
    </xf>
    <xf numFmtId="0" fontId="36" fillId="0" borderId="0" xfId="0" applyFont="1" applyAlignment="1">
      <alignment horizontal="center" vertical="center"/>
    </xf>
    <xf numFmtId="0" fontId="37" fillId="5" borderId="1" xfId="0" applyFont="1" applyFill="1" applyBorder="1" applyAlignment="1">
      <alignment horizontal="center" vertical="center"/>
    </xf>
    <xf numFmtId="3" fontId="46" fillId="5" borderId="1" xfId="0" applyNumberFormat="1" applyFont="1" applyFill="1" applyBorder="1" applyAlignment="1">
      <alignment horizontal="right" vertical="center" wrapText="1"/>
    </xf>
    <xf numFmtId="3" fontId="37" fillId="5" borderId="1" xfId="0" applyNumberFormat="1" applyFont="1" applyFill="1" applyBorder="1" applyAlignment="1">
      <alignment horizontal="right" vertical="center" wrapText="1"/>
    </xf>
    <xf numFmtId="3" fontId="37" fillId="5" borderId="0" xfId="0" applyNumberFormat="1" applyFont="1" applyFill="1" applyAlignment="1">
      <alignment horizontal="right" vertical="center" wrapText="1"/>
    </xf>
    <xf numFmtId="0" fontId="37" fillId="5" borderId="0" xfId="0" applyFont="1" applyFill="1" applyAlignment="1">
      <alignment horizontal="center" vertical="center"/>
    </xf>
    <xf numFmtId="3" fontId="37" fillId="6" borderId="0" xfId="0" applyNumberFormat="1" applyFont="1" applyFill="1" applyAlignment="1">
      <alignment horizontal="center" vertical="center"/>
    </xf>
    <xf numFmtId="3" fontId="46" fillId="2" borderId="1" xfId="0" applyNumberFormat="1" applyFont="1" applyFill="1" applyBorder="1" applyAlignment="1">
      <alignment vertical="center" wrapText="1"/>
    </xf>
    <xf numFmtId="3" fontId="53" fillId="2" borderId="1" xfId="0" applyNumberFormat="1" applyFont="1" applyFill="1" applyBorder="1" applyAlignment="1">
      <alignment vertical="center" wrapText="1"/>
    </xf>
    <xf numFmtId="3" fontId="53" fillId="2" borderId="0" xfId="0" applyNumberFormat="1" applyFont="1" applyFill="1" applyAlignment="1">
      <alignment vertical="center" wrapText="1"/>
    </xf>
    <xf numFmtId="0" fontId="53" fillId="2" borderId="0" xfId="0" applyFont="1" applyFill="1" applyAlignment="1">
      <alignment horizontal="center" vertical="center"/>
    </xf>
    <xf numFmtId="0" fontId="49" fillId="0" borderId="1" xfId="0" applyFont="1" applyBorder="1" applyAlignment="1">
      <alignment horizontal="left" vertical="center" wrapText="1"/>
    </xf>
    <xf numFmtId="0" fontId="49" fillId="0" borderId="1" xfId="0" applyFont="1" applyBorder="1" applyAlignment="1">
      <alignment horizontal="center" vertical="center" wrapText="1"/>
    </xf>
    <xf numFmtId="3" fontId="46" fillId="0" borderId="1" xfId="0" applyNumberFormat="1" applyFont="1" applyBorder="1" applyAlignment="1">
      <alignment vertical="center" wrapText="1"/>
    </xf>
    <xf numFmtId="3" fontId="37" fillId="0" borderId="0" xfId="0" applyNumberFormat="1" applyFont="1" applyAlignment="1">
      <alignment horizontal="right" vertical="center" wrapText="1"/>
    </xf>
    <xf numFmtId="0" fontId="55" fillId="0" borderId="1" xfId="0" applyFont="1" applyBorder="1" applyAlignment="1">
      <alignment horizontal="left" vertical="center" wrapText="1"/>
    </xf>
    <xf numFmtId="3" fontId="42" fillId="0" borderId="1" xfId="0" applyNumberFormat="1" applyFont="1" applyBorder="1" applyAlignment="1">
      <alignment vertical="center" wrapText="1"/>
    </xf>
    <xf numFmtId="3" fontId="48" fillId="0" borderId="1" xfId="0" applyNumberFormat="1" applyFont="1" applyBorder="1" applyAlignment="1">
      <alignment horizontal="center" vertical="center" wrapText="1"/>
    </xf>
    <xf numFmtId="0" fontId="55" fillId="0" borderId="1" xfId="0" quotePrefix="1" applyFont="1" applyBorder="1" applyAlignment="1">
      <alignment horizontal="left" vertical="center" wrapText="1"/>
    </xf>
    <xf numFmtId="167" fontId="56" fillId="0" borderId="1" xfId="0" applyNumberFormat="1" applyFont="1" applyBorder="1" applyAlignment="1">
      <alignment horizontal="left" vertical="center" wrapText="1"/>
    </xf>
    <xf numFmtId="167" fontId="5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3" fontId="46" fillId="0" borderId="1" xfId="1" applyNumberFormat="1" applyFont="1" applyFill="1" applyBorder="1" applyAlignment="1">
      <alignment vertical="center"/>
    </xf>
    <xf numFmtId="3" fontId="42" fillId="0" borderId="1" xfId="1" applyNumberFormat="1" applyFont="1" applyFill="1" applyBorder="1" applyAlignment="1">
      <alignment vertical="center"/>
    </xf>
    <xf numFmtId="0" fontId="49" fillId="0" borderId="1" xfId="0" quotePrefix="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horizontal="center" vertical="center" wrapText="1"/>
    </xf>
    <xf numFmtId="3" fontId="46" fillId="0" borderId="1" xfId="0" applyNumberFormat="1" applyFont="1" applyBorder="1" applyAlignment="1">
      <alignment horizontal="right" vertical="center" wrapText="1"/>
    </xf>
    <xf numFmtId="3" fontId="57" fillId="0" borderId="1" xfId="0" applyNumberFormat="1" applyFont="1" applyBorder="1" applyAlignment="1">
      <alignment horizontal="right" vertical="center" wrapText="1"/>
    </xf>
    <xf numFmtId="179" fontId="37" fillId="0" borderId="0" xfId="0" applyNumberFormat="1" applyFont="1" applyAlignment="1">
      <alignment horizontal="center" vertical="center"/>
    </xf>
    <xf numFmtId="3" fontId="58" fillId="0" borderId="1" xfId="0" applyNumberFormat="1" applyFont="1" applyBorder="1" applyAlignment="1">
      <alignment horizontal="right" vertical="center" wrapText="1"/>
    </xf>
    <xf numFmtId="3" fontId="56" fillId="0" borderId="1" xfId="0" applyNumberFormat="1" applyFont="1" applyBorder="1" applyAlignment="1">
      <alignment horizontal="right" vertical="center" wrapText="1"/>
    </xf>
    <xf numFmtId="3" fontId="56" fillId="0" borderId="0" xfId="0" applyNumberFormat="1" applyFont="1" applyAlignment="1">
      <alignment horizontal="right" vertical="center" wrapText="1"/>
    </xf>
    <xf numFmtId="3" fontId="48" fillId="0" borderId="0" xfId="0" applyNumberFormat="1" applyFont="1" applyAlignment="1">
      <alignment horizontal="center" vertical="center" wrapText="1"/>
    </xf>
    <xf numFmtId="180" fontId="37" fillId="0" borderId="0" xfId="0" applyNumberFormat="1" applyFont="1" applyAlignment="1">
      <alignment horizontal="center" vertical="center"/>
    </xf>
    <xf numFmtId="181" fontId="37" fillId="0" borderId="0" xfId="0" applyNumberFormat="1" applyFont="1" applyAlignment="1">
      <alignment horizontal="center" vertical="center"/>
    </xf>
    <xf numFmtId="3" fontId="60" fillId="0" borderId="1" xfId="0" applyNumberFormat="1" applyFont="1" applyBorder="1" applyAlignment="1">
      <alignment horizontal="right" vertical="center" wrapText="1"/>
    </xf>
    <xf numFmtId="3" fontId="61" fillId="0" borderId="1" xfId="0" applyNumberFormat="1" applyFont="1" applyBorder="1" applyAlignment="1">
      <alignment horizontal="right" vertical="center" wrapText="1"/>
    </xf>
    <xf numFmtId="167" fontId="45" fillId="0" borderId="0" xfId="0" applyNumberFormat="1" applyFont="1" applyAlignment="1">
      <alignment horizontal="right" vertical="center"/>
    </xf>
    <xf numFmtId="0" fontId="45" fillId="0" borderId="0" xfId="0" applyFont="1" applyAlignment="1">
      <alignment horizontal="center" vertical="center"/>
    </xf>
    <xf numFmtId="3" fontId="46" fillId="2" borderId="1" xfId="0" applyNumberFormat="1" applyFont="1" applyFill="1" applyBorder="1" applyAlignment="1">
      <alignment horizontal="right" vertical="center" wrapText="1"/>
    </xf>
    <xf numFmtId="3" fontId="62" fillId="2" borderId="1" xfId="0" applyNumberFormat="1" applyFont="1" applyFill="1" applyBorder="1" applyAlignment="1">
      <alignment vertical="center" wrapText="1"/>
    </xf>
    <xf numFmtId="3" fontId="62" fillId="2" borderId="0" xfId="0" applyNumberFormat="1" applyFont="1" applyFill="1" applyAlignment="1">
      <alignment vertical="center" wrapText="1"/>
    </xf>
    <xf numFmtId="3" fontId="42" fillId="0" borderId="1" xfId="0" applyNumberFormat="1" applyFont="1" applyBorder="1" applyAlignment="1">
      <alignment horizontal="center" vertical="center" wrapText="1"/>
    </xf>
    <xf numFmtId="0" fontId="44" fillId="0" borderId="1" xfId="0" applyFont="1" applyBorder="1" applyAlignment="1">
      <alignment horizontal="center" vertical="center"/>
    </xf>
    <xf numFmtId="167" fontId="43" fillId="0" borderId="1" xfId="0" applyNumberFormat="1" applyFont="1" applyBorder="1" applyAlignment="1">
      <alignment horizontal="left" vertical="center" wrapText="1"/>
    </xf>
    <xf numFmtId="167" fontId="43" fillId="0" borderId="1" xfId="0" applyNumberFormat="1" applyFont="1" applyBorder="1" applyAlignment="1">
      <alignment horizontal="center" vertical="center" wrapText="1"/>
    </xf>
    <xf numFmtId="3" fontId="62" fillId="0" borderId="1" xfId="0" applyNumberFormat="1" applyFont="1" applyBorder="1" applyAlignment="1">
      <alignment horizontal="right" vertical="center" wrapText="1"/>
    </xf>
    <xf numFmtId="3" fontId="62" fillId="0" borderId="0" xfId="0" applyNumberFormat="1" applyFont="1" applyAlignment="1">
      <alignment horizontal="right" vertical="center" wrapText="1"/>
    </xf>
    <xf numFmtId="3" fontId="63" fillId="0" borderId="1" xfId="0" applyNumberFormat="1" applyFont="1" applyBorder="1" applyAlignment="1">
      <alignment horizontal="right" vertical="center" wrapText="1"/>
    </xf>
    <xf numFmtId="3" fontId="63" fillId="0" borderId="0" xfId="0" applyNumberFormat="1" applyFont="1" applyAlignment="1">
      <alignment horizontal="right" vertical="center" wrapText="1"/>
    </xf>
    <xf numFmtId="0" fontId="37" fillId="0" borderId="0" xfId="0" applyFont="1" applyAlignment="1">
      <alignment horizontal="left" vertical="center" wrapText="1"/>
    </xf>
    <xf numFmtId="0" fontId="37" fillId="2" borderId="1" xfId="0" applyFont="1" applyFill="1" applyBorder="1" applyAlignment="1">
      <alignment horizontal="center" vertical="center"/>
    </xf>
    <xf numFmtId="0" fontId="37" fillId="2" borderId="1" xfId="0" applyFont="1" applyFill="1" applyBorder="1" applyAlignment="1">
      <alignment horizontal="left" vertical="center" wrapText="1"/>
    </xf>
    <xf numFmtId="167" fontId="57" fillId="2" borderId="1" xfId="1" applyNumberFormat="1" applyFont="1" applyFill="1" applyBorder="1" applyAlignment="1">
      <alignment horizontal="center" vertical="center" wrapText="1"/>
    </xf>
    <xf numFmtId="167" fontId="63" fillId="2" borderId="1" xfId="1" applyNumberFormat="1" applyFont="1" applyFill="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left" vertical="center" wrapText="1"/>
    </xf>
    <xf numFmtId="167" fontId="57" fillId="0" borderId="1" xfId="1" applyNumberFormat="1" applyFont="1" applyFill="1" applyBorder="1" applyAlignment="1">
      <alignment horizontal="center" vertical="center"/>
    </xf>
    <xf numFmtId="3" fontId="47" fillId="0" borderId="1" xfId="0" applyNumberFormat="1" applyFont="1" applyBorder="1" applyAlignment="1">
      <alignment horizontal="center" vertical="center" wrapText="1"/>
    </xf>
    <xf numFmtId="3" fontId="58" fillId="3" borderId="1" xfId="0" applyNumberFormat="1" applyFont="1" applyFill="1" applyBorder="1" applyAlignment="1">
      <alignment horizontal="right" vertical="center" wrapText="1"/>
    </xf>
    <xf numFmtId="0" fontId="37" fillId="2" borderId="0" xfId="0" applyFont="1" applyFill="1" applyAlignment="1">
      <alignment horizontal="center" vertical="center"/>
    </xf>
    <xf numFmtId="3" fontId="42" fillId="3" borderId="1" xfId="0" applyNumberFormat="1" applyFont="1" applyFill="1" applyBorder="1" applyAlignment="1">
      <alignment horizontal="center" vertical="center" wrapText="1"/>
    </xf>
    <xf numFmtId="167" fontId="45" fillId="0" borderId="0" xfId="0" applyNumberFormat="1" applyFont="1" applyAlignment="1">
      <alignment horizontal="center" vertical="center"/>
    </xf>
    <xf numFmtId="167" fontId="37" fillId="2" borderId="1" xfId="1" applyNumberFormat="1" applyFont="1" applyFill="1" applyBorder="1" applyAlignment="1">
      <alignment horizontal="center" vertical="center" wrapText="1"/>
    </xf>
    <xf numFmtId="167" fontId="37" fillId="2" borderId="0" xfId="1" applyNumberFormat="1" applyFont="1" applyFill="1" applyBorder="1" applyAlignment="1">
      <alignment horizontal="center" vertical="center" wrapText="1"/>
    </xf>
    <xf numFmtId="167" fontId="37" fillId="2" borderId="0" xfId="0" applyNumberFormat="1" applyFont="1" applyFill="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horizontal="left" vertical="center" wrapText="1"/>
    </xf>
    <xf numFmtId="167" fontId="64" fillId="0" borderId="1" xfId="1" applyNumberFormat="1" applyFont="1" applyFill="1" applyBorder="1" applyAlignment="1">
      <alignment horizontal="center" vertical="center"/>
    </xf>
    <xf numFmtId="3" fontId="64" fillId="0" borderId="1" xfId="0" applyNumberFormat="1" applyFont="1" applyBorder="1" applyAlignment="1">
      <alignment horizontal="right" vertical="center" wrapText="1"/>
    </xf>
    <xf numFmtId="179" fontId="45" fillId="0" borderId="0" xfId="0" applyNumberFormat="1" applyFont="1" applyAlignment="1">
      <alignment horizontal="center" vertical="center"/>
    </xf>
    <xf numFmtId="3" fontId="57" fillId="2" borderId="1" xfId="0" applyNumberFormat="1" applyFont="1" applyFill="1" applyBorder="1" applyAlignment="1">
      <alignment vertical="center" wrapText="1"/>
    </xf>
    <xf numFmtId="3" fontId="49" fillId="2" borderId="1" xfId="0" applyNumberFormat="1" applyFont="1" applyFill="1" applyBorder="1" applyAlignment="1">
      <alignment vertical="center" wrapText="1"/>
    </xf>
    <xf numFmtId="3" fontId="49" fillId="2" borderId="0" xfId="0" applyNumberFormat="1" applyFont="1" applyFill="1" applyAlignment="1">
      <alignment vertical="center" wrapText="1"/>
    </xf>
    <xf numFmtId="167" fontId="4" fillId="0" borderId="1" xfId="0" applyNumberFormat="1" applyFont="1" applyBorder="1" applyAlignment="1">
      <alignment horizontal="center" vertical="center" wrapText="1"/>
    </xf>
    <xf numFmtId="167" fontId="4" fillId="0" borderId="0" xfId="0" applyNumberFormat="1" applyFont="1" applyAlignment="1">
      <alignment horizontal="center" vertical="center" wrapText="1"/>
    </xf>
    <xf numFmtId="0" fontId="65" fillId="0" borderId="1" xfId="0" applyFont="1" applyBorder="1" applyAlignment="1">
      <alignment horizontal="center" vertical="center"/>
    </xf>
    <xf numFmtId="167" fontId="66" fillId="0" borderId="1" xfId="0" applyNumberFormat="1" applyFont="1" applyBorder="1" applyAlignment="1">
      <alignment horizontal="left" vertical="center" wrapText="1"/>
    </xf>
    <xf numFmtId="167" fontId="66" fillId="0" borderId="1" xfId="0" applyNumberFormat="1" applyFont="1" applyBorder="1" applyAlignment="1">
      <alignment horizontal="center" vertical="center" wrapText="1"/>
    </xf>
    <xf numFmtId="3" fontId="67" fillId="0" borderId="1" xfId="0" applyNumberFormat="1" applyFont="1" applyBorder="1" applyAlignment="1">
      <alignment horizontal="right" vertical="center" wrapText="1"/>
    </xf>
    <xf numFmtId="3" fontId="68" fillId="0" borderId="1" xfId="0" applyNumberFormat="1" applyFont="1" applyBorder="1" applyAlignment="1">
      <alignment horizontal="right" vertical="center" wrapText="1"/>
    </xf>
    <xf numFmtId="3" fontId="69" fillId="0" borderId="1" xfId="0" applyNumberFormat="1" applyFont="1" applyBorder="1" applyAlignment="1">
      <alignment horizontal="center" vertical="center" wrapText="1"/>
    </xf>
    <xf numFmtId="167" fontId="68" fillId="0" borderId="1" xfId="1" applyNumberFormat="1" applyFont="1" applyFill="1" applyBorder="1" applyAlignment="1">
      <alignment horizontal="center" vertical="center"/>
    </xf>
    <xf numFmtId="3" fontId="70" fillId="0" borderId="1" xfId="0" applyNumberFormat="1" applyFont="1" applyBorder="1" applyAlignment="1">
      <alignment horizontal="right" vertical="center" wrapText="1"/>
    </xf>
    <xf numFmtId="3" fontId="71" fillId="0" borderId="1" xfId="0" applyNumberFormat="1" applyFont="1" applyBorder="1" applyAlignment="1">
      <alignment horizontal="center" vertical="center" wrapText="1"/>
    </xf>
    <xf numFmtId="3" fontId="71" fillId="0" borderId="0" xfId="0" applyNumberFormat="1" applyFont="1" applyAlignment="1">
      <alignment horizontal="center" vertical="center" wrapText="1"/>
    </xf>
    <xf numFmtId="167" fontId="39" fillId="0" borderId="0" xfId="0" applyNumberFormat="1" applyFont="1" applyAlignment="1">
      <alignment horizontal="right" vertical="center"/>
    </xf>
    <xf numFmtId="167" fontId="39" fillId="0" borderId="0" xfId="0" applyNumberFormat="1" applyFont="1" applyAlignment="1">
      <alignment horizontal="center" vertical="center"/>
    </xf>
    <xf numFmtId="167" fontId="49" fillId="0" borderId="1" xfId="0" applyNumberFormat="1" applyFont="1" applyBorder="1" applyAlignment="1">
      <alignment horizontal="center" vertical="center" wrapText="1"/>
    </xf>
    <xf numFmtId="167" fontId="59" fillId="7" borderId="1" xfId="0" applyNumberFormat="1" applyFont="1" applyFill="1" applyBorder="1" applyAlignment="1">
      <alignment horizontal="center" vertical="center" wrapText="1"/>
    </xf>
    <xf numFmtId="167" fontId="74" fillId="0" borderId="1" xfId="0" applyNumberFormat="1" applyFont="1" applyBorder="1" applyAlignment="1">
      <alignment horizontal="left" vertical="center" wrapText="1"/>
    </xf>
    <xf numFmtId="0" fontId="39" fillId="7" borderId="0" xfId="0" applyFont="1" applyFill="1" applyAlignment="1">
      <alignment horizontal="left" vertical="center" wrapText="1"/>
    </xf>
    <xf numFmtId="0" fontId="41" fillId="7" borderId="0" xfId="0" applyFont="1" applyFill="1" applyAlignment="1">
      <alignment horizontal="center" vertical="center"/>
    </xf>
    <xf numFmtId="0" fontId="66" fillId="7" borderId="0" xfId="0" applyFont="1" applyFill="1" applyAlignment="1">
      <alignment horizontal="center" vertical="center"/>
    </xf>
    <xf numFmtId="0" fontId="39" fillId="7" borderId="0" xfId="0" applyFont="1" applyFill="1" applyAlignment="1">
      <alignment horizontal="center" vertical="center"/>
    </xf>
    <xf numFmtId="0" fontId="73" fillId="7" borderId="0" xfId="0" applyFont="1" applyFill="1" applyAlignment="1">
      <alignment horizontal="center" vertical="center"/>
    </xf>
    <xf numFmtId="167" fontId="36" fillId="0" borderId="1" xfId="68" applyNumberFormat="1" applyFont="1" applyBorder="1" applyAlignment="1">
      <alignment horizontal="left" vertical="center" wrapText="1"/>
    </xf>
    <xf numFmtId="3" fontId="68" fillId="0" borderId="1" xfId="0" applyNumberFormat="1" applyFont="1" applyBorder="1" applyAlignment="1">
      <alignment vertical="center" wrapText="1"/>
    </xf>
    <xf numFmtId="3" fontId="68" fillId="0" borderId="1" xfId="1" applyNumberFormat="1" applyFont="1" applyFill="1" applyBorder="1" applyAlignment="1">
      <alignment vertical="center"/>
    </xf>
    <xf numFmtId="3" fontId="46" fillId="7" borderId="1" xfId="0" applyNumberFormat="1" applyFont="1" applyFill="1" applyBorder="1" applyAlignment="1">
      <alignment vertical="center" wrapText="1"/>
    </xf>
    <xf numFmtId="3" fontId="62" fillId="7" borderId="0" xfId="0" applyNumberFormat="1" applyFont="1" applyFill="1" applyAlignment="1">
      <alignment horizontal="center" vertical="center" wrapText="1"/>
    </xf>
    <xf numFmtId="3" fontId="62" fillId="7" borderId="1" xfId="0" applyNumberFormat="1" applyFont="1" applyFill="1" applyBorder="1" applyAlignment="1">
      <alignment horizontal="center" vertical="center" wrapText="1"/>
    </xf>
    <xf numFmtId="167" fontId="59" fillId="7" borderId="1" xfId="0" applyNumberFormat="1" applyFont="1" applyFill="1" applyBorder="1" applyAlignment="1">
      <alignment horizontal="left" vertical="center" wrapText="1"/>
    </xf>
    <xf numFmtId="0" fontId="45" fillId="7" borderId="1" xfId="0" applyFont="1" applyFill="1" applyBorder="1" applyAlignment="1">
      <alignment horizontal="center" vertical="center"/>
    </xf>
    <xf numFmtId="167" fontId="57" fillId="2" borderId="1" xfId="1" applyNumberFormat="1" applyFont="1" applyFill="1" applyBorder="1" applyAlignment="1">
      <alignment horizontal="right" vertical="center" wrapText="1"/>
    </xf>
    <xf numFmtId="167" fontId="57" fillId="0" borderId="1" xfId="1" applyNumberFormat="1" applyFont="1" applyFill="1" applyBorder="1" applyAlignment="1">
      <alignment vertical="center"/>
    </xf>
    <xf numFmtId="0" fontId="40" fillId="7" borderId="0" xfId="0" applyFont="1" applyFill="1" applyAlignment="1">
      <alignment horizontal="center" vertical="center"/>
    </xf>
    <xf numFmtId="0" fontId="45" fillId="7" borderId="0" xfId="0" applyFont="1" applyFill="1" applyAlignment="1">
      <alignment horizontal="center" vertical="center"/>
    </xf>
    <xf numFmtId="167" fontId="45" fillId="7" borderId="0" xfId="0" applyNumberFormat="1" applyFont="1" applyFill="1" applyAlignment="1">
      <alignment horizontal="center" vertical="center"/>
    </xf>
    <xf numFmtId="167" fontId="45" fillId="7" borderId="0" xfId="0" applyNumberFormat="1" applyFont="1" applyFill="1" applyAlignment="1">
      <alignment horizontal="right" vertical="center"/>
    </xf>
    <xf numFmtId="3" fontId="48" fillId="7" borderId="0" xfId="0" applyNumberFormat="1" applyFont="1" applyFill="1" applyAlignment="1">
      <alignment horizontal="center" vertical="center" wrapText="1"/>
    </xf>
    <xf numFmtId="3" fontId="48" fillId="7" borderId="1" xfId="0" applyNumberFormat="1" applyFont="1" applyFill="1" applyBorder="1" applyAlignment="1">
      <alignment horizontal="center" vertical="center" wrapText="1"/>
    </xf>
    <xf numFmtId="3" fontId="60" fillId="7" borderId="1" xfId="0" applyNumberFormat="1" applyFont="1" applyFill="1" applyBorder="1" applyAlignment="1">
      <alignment horizontal="right" vertical="center" wrapText="1"/>
    </xf>
    <xf numFmtId="167" fontId="43" fillId="7" borderId="1" xfId="0" applyNumberFormat="1" applyFont="1" applyFill="1" applyBorder="1" applyAlignment="1">
      <alignment horizontal="center" vertical="center" wrapText="1"/>
    </xf>
    <xf numFmtId="167" fontId="43" fillId="7" borderId="1" xfId="0" applyNumberFormat="1" applyFont="1" applyFill="1" applyBorder="1" applyAlignment="1">
      <alignment horizontal="left" vertical="center" wrapText="1"/>
    </xf>
    <xf numFmtId="0" fontId="44" fillId="7" borderId="1" xfId="0" applyFont="1" applyFill="1" applyBorder="1" applyAlignment="1">
      <alignment horizontal="center" vertical="center"/>
    </xf>
    <xf numFmtId="167" fontId="57" fillId="0" borderId="1" xfId="1" applyNumberFormat="1" applyFont="1" applyFill="1" applyBorder="1" applyAlignment="1">
      <alignment horizontal="right" vertical="center"/>
    </xf>
    <xf numFmtId="0" fontId="36" fillId="0" borderId="1" xfId="0" applyFont="1" applyBorder="1" applyAlignment="1">
      <alignment horizontal="left" vertical="center" wrapText="1"/>
    </xf>
    <xf numFmtId="167" fontId="58" fillId="0" borderId="1" xfId="0" applyNumberFormat="1" applyFont="1" applyBorder="1" applyAlignment="1">
      <alignment horizontal="center" vertical="center"/>
    </xf>
    <xf numFmtId="3" fontId="67" fillId="0" borderId="1" xfId="0" applyNumberFormat="1" applyFont="1" applyBorder="1" applyAlignment="1">
      <alignment vertical="center" wrapText="1"/>
    </xf>
    <xf numFmtId="167" fontId="74" fillId="0" borderId="1" xfId="0" applyNumberFormat="1" applyFont="1" applyBorder="1" applyAlignment="1">
      <alignment horizontal="center" vertical="center" wrapText="1"/>
    </xf>
    <xf numFmtId="3" fontId="39" fillId="7" borderId="0" xfId="0" applyNumberFormat="1" applyFont="1" applyFill="1" applyAlignment="1">
      <alignment horizontal="center" vertical="center"/>
    </xf>
    <xf numFmtId="3" fontId="42" fillId="6" borderId="1" xfId="0" applyNumberFormat="1" applyFont="1" applyFill="1" applyBorder="1" applyAlignment="1">
      <alignment vertical="center" wrapText="1"/>
    </xf>
    <xf numFmtId="3" fontId="6" fillId="0" borderId="0" xfId="0" applyNumberFormat="1" applyFont="1" applyAlignment="1">
      <alignment horizontal="center" vertical="center"/>
    </xf>
    <xf numFmtId="3" fontId="41" fillId="7" borderId="0" xfId="0" applyNumberFormat="1" applyFont="1" applyFill="1" applyAlignment="1">
      <alignment horizontal="center" vertical="center"/>
    </xf>
    <xf numFmtId="3" fontId="39" fillId="0" borderId="0" xfId="0" applyNumberFormat="1" applyFont="1" applyAlignment="1">
      <alignment horizontal="center" vertical="center"/>
    </xf>
    <xf numFmtId="3" fontId="41" fillId="2" borderId="0" xfId="0" applyNumberFormat="1" applyFont="1" applyFill="1" applyAlignment="1">
      <alignment horizontal="center" vertical="center"/>
    </xf>
    <xf numFmtId="3" fontId="6" fillId="0" borderId="0" xfId="0" applyNumberFormat="1" applyFont="1" applyAlignment="1">
      <alignment horizontal="left" vertical="center" wrapText="1"/>
    </xf>
    <xf numFmtId="3" fontId="6" fillId="2" borderId="0" xfId="0" applyNumberFormat="1" applyFont="1" applyFill="1" applyAlignment="1">
      <alignment horizontal="center" vertical="center"/>
    </xf>
    <xf numFmtId="3" fontId="39" fillId="7" borderId="0" xfId="0" applyNumberFormat="1" applyFont="1" applyFill="1" applyAlignment="1">
      <alignment horizontal="left" vertical="center" wrapText="1"/>
    </xf>
    <xf numFmtId="0" fontId="45" fillId="0" borderId="2"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49" fillId="2" borderId="2" xfId="0" applyFont="1" applyFill="1" applyBorder="1" applyAlignment="1">
      <alignment horizontal="left" vertical="center" wrapText="1"/>
    </xf>
    <xf numFmtId="0" fontId="49" fillId="2" borderId="4"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45"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56" fillId="2" borderId="1" xfId="0" applyFont="1" applyFill="1" applyBorder="1" applyAlignment="1">
      <alignment horizontal="left" vertical="center" wrapText="1"/>
    </xf>
    <xf numFmtId="0" fontId="53" fillId="2" borderId="1" xfId="0" applyFont="1" applyFill="1" applyBorder="1" applyAlignment="1">
      <alignment horizontal="left" vertical="center" wrapText="1"/>
    </xf>
    <xf numFmtId="0" fontId="37" fillId="5" borderId="1" xfId="0" applyFont="1" applyFill="1" applyBorder="1" applyAlignment="1">
      <alignment horizontal="center" vertical="center"/>
    </xf>
    <xf numFmtId="0" fontId="51" fillId="0" borderId="0" xfId="0" applyFont="1" applyAlignment="1">
      <alignment horizontal="center" vertical="center" wrapText="1"/>
    </xf>
    <xf numFmtId="0" fontId="51" fillId="0" borderId="5" xfId="0" applyFont="1" applyBorder="1" applyAlignment="1">
      <alignment horizontal="center" vertical="center"/>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53" fillId="0" borderId="1" xfId="0" applyFont="1" applyBorder="1" applyAlignment="1">
      <alignment horizontal="center"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0" borderId="3" xfId="0" applyFont="1" applyBorder="1" applyAlignment="1">
      <alignment horizontal="left" vertical="center" wrapText="1"/>
    </xf>
    <xf numFmtId="0" fontId="49" fillId="0" borderId="0" xfId="0" applyFont="1" applyAlignment="1">
      <alignment horizontal="center" vertical="center" wrapText="1"/>
    </xf>
    <xf numFmtId="0" fontId="49" fillId="2" borderId="1" xfId="0" applyFont="1" applyFill="1" applyBorder="1" applyAlignment="1">
      <alignment horizontal="left"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3" fillId="0" borderId="0" xfId="0" applyFont="1" applyAlignment="1">
      <alignment horizontal="center" vertical="center" wrapText="1"/>
    </xf>
    <xf numFmtId="0" fontId="8" fillId="0" borderId="5" xfId="0" applyFont="1" applyBorder="1" applyAlignment="1">
      <alignment horizontal="right" vertical="center"/>
    </xf>
    <xf numFmtId="0" fontId="6" fillId="0" borderId="1" xfId="0" applyFont="1" applyBorder="1" applyAlignment="1">
      <alignment horizontal="center" vertical="center" wrapText="1"/>
    </xf>
    <xf numFmtId="0" fontId="38" fillId="0" borderId="0" xfId="0" applyFont="1" applyAlignment="1">
      <alignment horizontal="center" vertical="center" wrapText="1"/>
    </xf>
    <xf numFmtId="0" fontId="3" fillId="2" borderId="1" xfId="0" applyFont="1" applyFill="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8" fillId="0" borderId="6" xfId="0" applyFont="1" applyBorder="1" applyAlignment="1">
      <alignment horizontal="left" vertical="center"/>
    </xf>
    <xf numFmtId="0" fontId="6" fillId="0" borderId="1" xfId="0" applyFont="1" applyBorder="1" applyAlignment="1">
      <alignment horizontal="left" vertical="center" wrapText="1"/>
    </xf>
  </cellXfs>
  <cellStyles count="69">
    <cellStyle name="          _x000a__x000a_shell=progman.exe_x000a__x000a_m" xfId="2"/>
    <cellStyle name="          _x000d__x000a_shell=progman.exe_x000d__x000a_m" xfId="3"/>
    <cellStyle name="          _x005f_x000d__x005f_x000a_shell=progman.exe_x005f_x000d__x005f_x000a_m" xfId="4"/>
    <cellStyle name="???? [0.00]_      " xfId="5"/>
    <cellStyle name="????_      " xfId="6"/>
    <cellStyle name="??_      " xfId="7"/>
    <cellStyle name="??A? [0]_laroux_1_¢¬???¢â? " xfId="8"/>
    <cellStyle name="??A?_laroux_1_¢¬???¢â? " xfId="9"/>
    <cellStyle name="?¡±¢¥?_?¨ù??¢´¢¥_¢¬???¢â? " xfId="10"/>
    <cellStyle name="1" xfId="11"/>
    <cellStyle name="1_Gia_VLQL48_duyet " xfId="12"/>
    <cellStyle name="¹éºÐÀ²_      " xfId="13"/>
    <cellStyle name="2_Gia_VLQL48_duyet " xfId="14"/>
    <cellStyle name="3_Gia_VLQL48_duyet " xfId="15"/>
    <cellStyle name="4_Gia_VLQL48_duyet " xfId="16"/>
    <cellStyle name="ÅëÈ­ [0]_      " xfId="17"/>
    <cellStyle name="AeE­ [0]_INQUIRY ¿?¾÷AßAø " xfId="18"/>
    <cellStyle name="ÅëÈ­_      " xfId="19"/>
    <cellStyle name="AeE­_INQUIRY ¿?¾÷AßAø " xfId="20"/>
    <cellStyle name="ÄÞ¸¶ [0]_      " xfId="21"/>
    <cellStyle name="AÞ¸¶ [0]_INQUIRY ¿?¾÷AßAø " xfId="22"/>
    <cellStyle name="ÄÞ¸¶_      " xfId="23"/>
    <cellStyle name="AÞ¸¶_INQUIRY ¿?¾÷AßAø " xfId="24"/>
    <cellStyle name="C?AØ_¿?¾÷CoE² " xfId="25"/>
    <cellStyle name="Ç¥ÁØ_      " xfId="26"/>
    <cellStyle name="C￥AØ_¿μ¾÷CoE² " xfId="27"/>
    <cellStyle name="Ç¥ÁØ_ÿÿÿÿÿÿ_4_ÃÑÇÕ°è " xfId="28"/>
    <cellStyle name="Comma" xfId="1" builtinId="3"/>
    <cellStyle name="Comma 10" xfId="30"/>
    <cellStyle name="Comma 10 10" xfId="31"/>
    <cellStyle name="Comma 10 10 2" xfId="32"/>
    <cellStyle name="Comma 11" xfId="33"/>
    <cellStyle name="Comma 2" xfId="34"/>
    <cellStyle name="Comma 2 2" xfId="35"/>
    <cellStyle name="Comma 3" xfId="36"/>
    <cellStyle name="Comma 4" xfId="37"/>
    <cellStyle name="Comma 4 2" xfId="38"/>
    <cellStyle name="Comma 4 2 2" xfId="39"/>
    <cellStyle name="Comma 5" xfId="29"/>
    <cellStyle name="Comma 6" xfId="40"/>
    <cellStyle name="Comma 7" xfId="41"/>
    <cellStyle name="Currency 2" xfId="42"/>
    <cellStyle name="Milliers [0]_      " xfId="43"/>
    <cellStyle name="Milliers_      " xfId="44"/>
    <cellStyle name="Monétaire [0]_      " xfId="45"/>
    <cellStyle name="Monétaire_      " xfId="46"/>
    <cellStyle name="Normal" xfId="0" builtinId="0"/>
    <cellStyle name="Normal 10" xfId="47"/>
    <cellStyle name="Normal 10 2" xfId="48"/>
    <cellStyle name="Normal 10 2 2 2" xfId="49"/>
    <cellStyle name="Normal 11" xfId="50"/>
    <cellStyle name="Normal 12" xfId="51"/>
    <cellStyle name="Normal 18" xfId="68"/>
    <cellStyle name="Normal 2" xfId="52"/>
    <cellStyle name="Normal 2 2" xfId="53"/>
    <cellStyle name="Normal 3" xfId="54"/>
    <cellStyle name="Normal 5" xfId="55"/>
    <cellStyle name="Normal 55" xfId="56"/>
    <cellStyle name="Normal 6" xfId="57"/>
    <cellStyle name="Normal 7" xfId="58"/>
    <cellStyle name="Normal 8" xfId="59"/>
    <cellStyle name="Percent 2" xfId="60"/>
    <cellStyle name="Percent 3" xfId="61"/>
    <cellStyle name="백분율_††††† " xfId="62"/>
    <cellStyle name="콤마 [0]_ 비목별 월별기술 " xfId="63"/>
    <cellStyle name="콤마_ 비목별 월별기술 " xfId="64"/>
    <cellStyle name="통화 [0]_††††† " xfId="65"/>
    <cellStyle name="통화_††††† " xfId="66"/>
    <cellStyle name="標準_(A1)BOQ "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4"/>
  <sheetViews>
    <sheetView tabSelected="1" zoomScale="78" workbookViewId="0">
      <pane ySplit="9" topLeftCell="A10" activePane="bottomLeft" state="frozen"/>
      <selection pane="bottomLeft" activeCell="AV16" sqref="AV16"/>
    </sheetView>
  </sheetViews>
  <sheetFormatPr defaultColWidth="8.7109375" defaultRowHeight="16.5"/>
  <cols>
    <col min="1" max="1" width="5.140625" style="4" customWidth="1"/>
    <col min="2" max="2" width="25.7109375" style="4" customWidth="1"/>
    <col min="3" max="3" width="13.7109375" style="4" customWidth="1"/>
    <col min="4" max="4" width="10.85546875" style="4" customWidth="1"/>
    <col min="5" max="5" width="9.140625" style="4" customWidth="1"/>
    <col min="6" max="6" width="7" style="4" customWidth="1"/>
    <col min="7" max="7" width="9.140625" style="11" customWidth="1"/>
    <col min="8" max="8" width="9.85546875" style="4" customWidth="1"/>
    <col min="9" max="9" width="9.140625" style="4" customWidth="1"/>
    <col min="10" max="10" width="8.5703125" style="4" customWidth="1"/>
    <col min="11" max="11" width="9.85546875" style="4" customWidth="1"/>
    <col min="12" max="12" width="9.28515625" style="4" customWidth="1"/>
    <col min="13" max="13" width="8.140625" style="4" customWidth="1"/>
    <col min="14" max="14" width="6.85546875" style="4" customWidth="1"/>
    <col min="15" max="15" width="9.5703125" style="4" customWidth="1"/>
    <col min="16" max="16" width="9.85546875" style="4" customWidth="1"/>
    <col min="17" max="17" width="8.42578125" style="4" customWidth="1"/>
    <col min="18" max="18" width="7.85546875" style="4" customWidth="1"/>
    <col min="19" max="19" width="9.42578125" style="4" customWidth="1"/>
    <col min="20" max="20" width="9.28515625" style="4" customWidth="1"/>
    <col min="21" max="21" width="8.28515625" style="4" customWidth="1"/>
    <col min="22" max="22" width="7.42578125" style="4" customWidth="1"/>
    <col min="23" max="23" width="8" style="4" customWidth="1"/>
    <col min="24" max="24" width="17.140625" style="4" hidden="1" customWidth="1"/>
    <col min="25" max="25" width="14.140625" style="4" hidden="1" customWidth="1"/>
    <col min="26" max="26" width="15.5703125" style="4" hidden="1" customWidth="1"/>
    <col min="27" max="27" width="11.140625" style="4" hidden="1" customWidth="1"/>
    <col min="28" max="28" width="10.5703125" style="4" hidden="1" customWidth="1"/>
    <col min="29" max="29" width="13.140625" style="4" hidden="1" customWidth="1"/>
    <col min="30" max="30" width="12.7109375" style="4" hidden="1" customWidth="1"/>
    <col min="31" max="31" width="11.140625" style="4" hidden="1" customWidth="1"/>
    <col min="32" max="32" width="9.42578125" style="4" hidden="1" customWidth="1"/>
    <col min="33" max="36" width="0" style="4" hidden="1" customWidth="1"/>
    <col min="37" max="43" width="0" style="172" hidden="1" customWidth="1"/>
    <col min="44" max="44" width="14.140625" style="172" bestFit="1" customWidth="1"/>
    <col min="45" max="45" width="8.7109375" style="172"/>
    <col min="46" max="16384" width="8.7109375" style="4"/>
  </cols>
  <sheetData>
    <row r="1" spans="1:46" ht="40.15" customHeight="1">
      <c r="A1" s="228" t="s">
        <v>344</v>
      </c>
      <c r="B1" s="228"/>
      <c r="C1" s="228"/>
      <c r="D1" s="228"/>
      <c r="E1" s="228"/>
      <c r="F1" s="228"/>
      <c r="G1" s="228"/>
      <c r="H1" s="228"/>
      <c r="I1" s="228"/>
      <c r="J1" s="228"/>
      <c r="K1" s="228"/>
      <c r="L1" s="228"/>
      <c r="M1" s="228"/>
      <c r="N1" s="228"/>
      <c r="O1" s="228"/>
      <c r="P1" s="228"/>
      <c r="Q1" s="228"/>
      <c r="R1" s="228"/>
      <c r="S1" s="228"/>
      <c r="T1" s="228"/>
      <c r="U1" s="228"/>
      <c r="V1" s="228"/>
      <c r="W1" s="228"/>
      <c r="X1" s="66"/>
      <c r="Y1" s="67"/>
      <c r="Z1" s="67"/>
      <c r="AA1" s="67"/>
      <c r="AB1" s="67"/>
      <c r="AC1" s="67"/>
      <c r="AD1" s="67"/>
      <c r="AE1" s="67"/>
      <c r="AF1" s="67"/>
    </row>
    <row r="2" spans="1:46" ht="24" hidden="1" customHeight="1">
      <c r="A2" s="66"/>
      <c r="B2" s="219" t="s">
        <v>340</v>
      </c>
      <c r="C2" s="219"/>
      <c r="D2" s="219"/>
      <c r="E2" s="219"/>
      <c r="F2" s="219"/>
      <c r="G2" s="219"/>
      <c r="H2" s="219"/>
      <c r="I2" s="219"/>
      <c r="J2" s="219"/>
      <c r="K2" s="219"/>
      <c r="L2" s="219"/>
      <c r="M2" s="219"/>
      <c r="N2" s="219"/>
      <c r="O2" s="219"/>
      <c r="P2" s="219"/>
      <c r="Q2" s="219"/>
      <c r="R2" s="219"/>
      <c r="S2" s="68"/>
      <c r="T2" s="68"/>
      <c r="U2" s="68"/>
      <c r="V2" s="68"/>
      <c r="W2" s="66"/>
      <c r="X2" s="66"/>
      <c r="Y2" s="67"/>
      <c r="Z2" s="67"/>
      <c r="AA2" s="67"/>
      <c r="AB2" s="67"/>
      <c r="AC2" s="67"/>
      <c r="AD2" s="67"/>
      <c r="AE2" s="67"/>
      <c r="AF2" s="67"/>
    </row>
    <row r="3" spans="1:46">
      <c r="A3" s="66"/>
      <c r="B3" s="219" t="s">
        <v>426</v>
      </c>
      <c r="C3" s="219"/>
      <c r="D3" s="219"/>
      <c r="E3" s="219"/>
      <c r="F3" s="219"/>
      <c r="G3" s="219"/>
      <c r="H3" s="219"/>
      <c r="I3" s="219"/>
      <c r="J3" s="219"/>
      <c r="K3" s="219"/>
      <c r="L3" s="219"/>
      <c r="M3" s="219"/>
      <c r="N3" s="219"/>
      <c r="O3" s="219"/>
      <c r="P3" s="219"/>
      <c r="Q3" s="219"/>
      <c r="R3" s="219"/>
      <c r="S3" s="219"/>
      <c r="T3" s="219"/>
      <c r="U3" s="219"/>
      <c r="V3" s="219"/>
      <c r="W3" s="219"/>
      <c r="X3" s="66"/>
      <c r="Y3" s="67"/>
      <c r="Z3" s="67"/>
      <c r="AA3" s="67"/>
      <c r="AB3" s="67"/>
      <c r="AC3" s="67"/>
      <c r="AD3" s="67"/>
      <c r="AE3" s="67"/>
      <c r="AF3" s="67"/>
    </row>
    <row r="4" spans="1:46" ht="17.25">
      <c r="A4" s="67"/>
      <c r="B4" s="67"/>
      <c r="C4" s="67"/>
      <c r="D4" s="67"/>
      <c r="E4" s="67"/>
      <c r="F4" s="67"/>
      <c r="G4" s="69"/>
      <c r="H4" s="69"/>
      <c r="I4" s="69"/>
      <c r="J4" s="69"/>
      <c r="K4" s="69"/>
      <c r="L4" s="69"/>
      <c r="M4" s="69"/>
      <c r="N4" s="69"/>
      <c r="O4" s="220" t="s">
        <v>338</v>
      </c>
      <c r="P4" s="220"/>
      <c r="Q4" s="220"/>
      <c r="R4" s="220"/>
      <c r="S4" s="220"/>
      <c r="T4" s="220"/>
      <c r="U4" s="220"/>
      <c r="V4" s="220"/>
      <c r="W4" s="220"/>
      <c r="X4" s="70"/>
      <c r="Y4" s="67"/>
      <c r="Z4" s="67"/>
      <c r="AA4" s="67"/>
      <c r="AB4" s="67"/>
      <c r="AC4" s="67"/>
      <c r="AD4" s="67"/>
      <c r="AE4" s="67"/>
      <c r="AF4" s="67"/>
    </row>
    <row r="5" spans="1:46" s="5" customFormat="1" ht="60.95" customHeight="1">
      <c r="A5" s="214" t="s">
        <v>0</v>
      </c>
      <c r="B5" s="214" t="s">
        <v>224</v>
      </c>
      <c r="C5" s="214" t="s">
        <v>175</v>
      </c>
      <c r="D5" s="214" t="s">
        <v>176</v>
      </c>
      <c r="E5" s="214" t="s">
        <v>20</v>
      </c>
      <c r="F5" s="214" t="s">
        <v>40</v>
      </c>
      <c r="G5" s="224" t="s">
        <v>423</v>
      </c>
      <c r="H5" s="224"/>
      <c r="I5" s="224"/>
      <c r="J5" s="224"/>
      <c r="K5" s="224" t="s">
        <v>341</v>
      </c>
      <c r="L5" s="224"/>
      <c r="M5" s="224"/>
      <c r="N5" s="224"/>
      <c r="O5" s="224" t="s">
        <v>425</v>
      </c>
      <c r="P5" s="224"/>
      <c r="Q5" s="224"/>
      <c r="R5" s="224"/>
      <c r="S5" s="230" t="s">
        <v>345</v>
      </c>
      <c r="T5" s="231"/>
      <c r="U5" s="231"/>
      <c r="V5" s="232"/>
      <c r="W5" s="221" t="s">
        <v>173</v>
      </c>
      <c r="X5" s="71"/>
      <c r="Y5" s="72">
        <f>H44-P44</f>
        <v>586.71699999999691</v>
      </c>
      <c r="Z5" s="72">
        <f>I44-Q44</f>
        <v>97</v>
      </c>
      <c r="AA5" s="72">
        <f>J44-R44</f>
        <v>70</v>
      </c>
      <c r="AB5" s="56"/>
      <c r="AC5" s="56"/>
      <c r="AD5" s="56"/>
      <c r="AE5" s="56"/>
      <c r="AF5" s="56"/>
      <c r="AK5" s="171"/>
      <c r="AL5" s="171"/>
      <c r="AM5" s="171"/>
      <c r="AN5" s="171"/>
      <c r="AO5" s="171"/>
      <c r="AP5" s="171"/>
      <c r="AQ5" s="171"/>
      <c r="AR5" s="171"/>
      <c r="AS5" s="171"/>
    </row>
    <row r="6" spans="1:46" s="5" customFormat="1" ht="26.45" customHeight="1">
      <c r="A6" s="214"/>
      <c r="B6" s="214"/>
      <c r="C6" s="214"/>
      <c r="D6" s="214"/>
      <c r="E6" s="214"/>
      <c r="F6" s="214"/>
      <c r="G6" s="214" t="s">
        <v>10</v>
      </c>
      <c r="H6" s="213" t="s">
        <v>3</v>
      </c>
      <c r="I6" s="213"/>
      <c r="J6" s="213"/>
      <c r="K6" s="214" t="s">
        <v>10</v>
      </c>
      <c r="L6" s="213" t="s">
        <v>3</v>
      </c>
      <c r="M6" s="213"/>
      <c r="N6" s="213"/>
      <c r="O6" s="214" t="s">
        <v>10</v>
      </c>
      <c r="P6" s="213" t="s">
        <v>3</v>
      </c>
      <c r="Q6" s="213"/>
      <c r="R6" s="213"/>
      <c r="S6" s="214" t="s">
        <v>10</v>
      </c>
      <c r="T6" s="213" t="s">
        <v>3</v>
      </c>
      <c r="U6" s="213"/>
      <c r="V6" s="213"/>
      <c r="W6" s="222"/>
      <c r="X6" s="71"/>
      <c r="Y6" s="56"/>
      <c r="Z6" s="72"/>
      <c r="AA6" s="56"/>
      <c r="AB6" s="56"/>
      <c r="AC6" s="56"/>
      <c r="AD6" s="56"/>
      <c r="AE6" s="56"/>
      <c r="AF6" s="56"/>
      <c r="AK6" s="171"/>
      <c r="AL6" s="171"/>
      <c r="AM6" s="171"/>
      <c r="AN6" s="171"/>
      <c r="AO6" s="171"/>
      <c r="AP6" s="171"/>
      <c r="AQ6" s="171"/>
      <c r="AR6" s="171"/>
      <c r="AS6" s="171"/>
    </row>
    <row r="7" spans="1:46" s="5" customFormat="1" ht="66.75" customHeight="1">
      <c r="A7" s="214"/>
      <c r="B7" s="214"/>
      <c r="C7" s="214"/>
      <c r="D7" s="214"/>
      <c r="E7" s="214"/>
      <c r="F7" s="214"/>
      <c r="G7" s="214"/>
      <c r="H7" s="214" t="s">
        <v>1</v>
      </c>
      <c r="I7" s="214" t="s">
        <v>2</v>
      </c>
      <c r="J7" s="214" t="s">
        <v>262</v>
      </c>
      <c r="K7" s="214"/>
      <c r="L7" s="214" t="s">
        <v>1</v>
      </c>
      <c r="M7" s="214" t="s">
        <v>2</v>
      </c>
      <c r="N7" s="214" t="s">
        <v>262</v>
      </c>
      <c r="O7" s="214"/>
      <c r="P7" s="214" t="s">
        <v>1</v>
      </c>
      <c r="Q7" s="214" t="s">
        <v>2</v>
      </c>
      <c r="R7" s="214" t="s">
        <v>16</v>
      </c>
      <c r="S7" s="214"/>
      <c r="T7" s="214" t="s">
        <v>1</v>
      </c>
      <c r="U7" s="214" t="s">
        <v>2</v>
      </c>
      <c r="V7" s="214" t="s">
        <v>16</v>
      </c>
      <c r="W7" s="222"/>
      <c r="X7" s="71"/>
      <c r="Y7" s="72">
        <f>H44-P44</f>
        <v>586.71699999999691</v>
      </c>
      <c r="Z7" s="72"/>
      <c r="AA7" s="56"/>
      <c r="AB7" s="56"/>
      <c r="AC7" s="56"/>
      <c r="AD7" s="56"/>
      <c r="AE7" s="56"/>
      <c r="AF7" s="56"/>
      <c r="AK7" s="171"/>
      <c r="AL7" s="171"/>
      <c r="AM7" s="171"/>
      <c r="AN7" s="171"/>
      <c r="AO7" s="171"/>
      <c r="AP7" s="171"/>
      <c r="AQ7" s="171"/>
      <c r="AR7" s="171"/>
      <c r="AS7" s="171"/>
      <c r="AT7" s="200"/>
    </row>
    <row r="8" spans="1:46" s="5" customFormat="1" ht="15" customHeight="1">
      <c r="A8" s="214"/>
      <c r="B8" s="214"/>
      <c r="C8" s="214"/>
      <c r="D8" s="214"/>
      <c r="E8" s="214"/>
      <c r="F8" s="214"/>
      <c r="G8" s="214"/>
      <c r="H8" s="214"/>
      <c r="I8" s="214"/>
      <c r="J8" s="214"/>
      <c r="K8" s="214"/>
      <c r="L8" s="214"/>
      <c r="M8" s="214"/>
      <c r="N8" s="214"/>
      <c r="O8" s="214"/>
      <c r="P8" s="214"/>
      <c r="Q8" s="214"/>
      <c r="R8" s="214"/>
      <c r="S8" s="214"/>
      <c r="T8" s="214"/>
      <c r="U8" s="214"/>
      <c r="V8" s="214"/>
      <c r="W8" s="223"/>
      <c r="X8" s="71"/>
      <c r="Y8" s="56"/>
      <c r="Z8" s="72"/>
      <c r="AA8" s="56"/>
      <c r="AB8" s="56"/>
      <c r="AC8" s="56"/>
      <c r="AD8" s="56"/>
      <c r="AE8" s="56"/>
      <c r="AF8" s="56"/>
      <c r="AH8" s="49" t="s">
        <v>359</v>
      </c>
      <c r="AK8" s="171" t="s">
        <v>363</v>
      </c>
      <c r="AL8" s="171"/>
      <c r="AM8" s="171"/>
      <c r="AN8" s="171"/>
      <c r="AO8" s="171"/>
      <c r="AP8" s="171"/>
      <c r="AQ8" s="171"/>
      <c r="AR8" s="171"/>
      <c r="AS8" s="171"/>
    </row>
    <row r="9" spans="1:46" s="49" customFormat="1" ht="12.75">
      <c r="A9" s="73" t="s">
        <v>11</v>
      </c>
      <c r="B9" s="73" t="s">
        <v>12</v>
      </c>
      <c r="C9" s="73" t="s">
        <v>18</v>
      </c>
      <c r="D9" s="73" t="s">
        <v>19</v>
      </c>
      <c r="E9" s="73" t="s">
        <v>21</v>
      </c>
      <c r="F9" s="73" t="s">
        <v>41</v>
      </c>
      <c r="G9" s="74" t="s">
        <v>22</v>
      </c>
      <c r="H9" s="74">
        <v>2</v>
      </c>
      <c r="I9" s="74">
        <v>3</v>
      </c>
      <c r="J9" s="74">
        <v>4</v>
      </c>
      <c r="K9" s="74"/>
      <c r="L9" s="74"/>
      <c r="M9" s="74"/>
      <c r="N9" s="74"/>
      <c r="O9" s="74" t="s">
        <v>23</v>
      </c>
      <c r="P9" s="74">
        <v>6</v>
      </c>
      <c r="Q9" s="74">
        <v>7</v>
      </c>
      <c r="R9" s="74">
        <v>8</v>
      </c>
      <c r="S9" s="74" t="s">
        <v>265</v>
      </c>
      <c r="T9" s="74"/>
      <c r="U9" s="74"/>
      <c r="V9" s="74"/>
      <c r="W9" s="74">
        <v>10</v>
      </c>
      <c r="X9" s="75"/>
      <c r="Y9" s="76"/>
      <c r="Z9" s="76"/>
      <c r="AA9" s="76"/>
      <c r="AB9" s="76"/>
      <c r="AC9" s="76"/>
      <c r="AD9" s="76"/>
      <c r="AE9" s="76"/>
      <c r="AF9" s="76"/>
      <c r="AH9" s="49" t="s">
        <v>360</v>
      </c>
      <c r="AI9" s="49" t="s">
        <v>361</v>
      </c>
      <c r="AJ9" s="49" t="s">
        <v>362</v>
      </c>
      <c r="AK9" s="170"/>
      <c r="AL9" s="170" t="s">
        <v>360</v>
      </c>
      <c r="AM9" s="170" t="s">
        <v>361</v>
      </c>
      <c r="AN9" s="170" t="s">
        <v>362</v>
      </c>
      <c r="AO9" s="170"/>
      <c r="AP9" s="170"/>
      <c r="AQ9" s="170"/>
      <c r="AR9" s="170"/>
      <c r="AS9" s="170"/>
    </row>
    <row r="10" spans="1:46" s="40" customFormat="1" ht="15.75">
      <c r="A10" s="218" t="s">
        <v>225</v>
      </c>
      <c r="B10" s="218"/>
      <c r="C10" s="77"/>
      <c r="D10" s="77"/>
      <c r="E10" s="77"/>
      <c r="F10" s="77"/>
      <c r="G10" s="78">
        <f t="shared" ref="G10:V10" si="0">G11+G54+G60+G183+G192+G189</f>
        <v>289070.5</v>
      </c>
      <c r="H10" s="78">
        <f t="shared" si="0"/>
        <v>251668</v>
      </c>
      <c r="I10" s="78">
        <f t="shared" si="0"/>
        <v>24934</v>
      </c>
      <c r="J10" s="78">
        <f t="shared" si="0"/>
        <v>12468.5</v>
      </c>
      <c r="K10" s="78">
        <f t="shared" si="0"/>
        <v>197244.03466223404</v>
      </c>
      <c r="L10" s="78">
        <f t="shared" si="0"/>
        <v>176090</v>
      </c>
      <c r="M10" s="78">
        <f t="shared" si="0"/>
        <v>17933</v>
      </c>
      <c r="N10" s="78">
        <f t="shared" si="0"/>
        <v>3221.034662234043</v>
      </c>
      <c r="O10" s="78">
        <f t="shared" si="0"/>
        <v>290598.46399999998</v>
      </c>
      <c r="P10" s="78">
        <f t="shared" si="0"/>
        <v>252905.3929647948</v>
      </c>
      <c r="Q10" s="78">
        <f t="shared" si="0"/>
        <v>25162.514023470121</v>
      </c>
      <c r="R10" s="78">
        <f t="shared" si="0"/>
        <v>12529.557011735062</v>
      </c>
      <c r="S10" s="78">
        <f t="shared" si="0"/>
        <v>1527.9640000000004</v>
      </c>
      <c r="T10" s="78">
        <f t="shared" si="0"/>
        <v>1237.3929647948125</v>
      </c>
      <c r="U10" s="78">
        <f t="shared" si="0"/>
        <v>228.51402347012333</v>
      </c>
      <c r="V10" s="78">
        <f t="shared" si="0"/>
        <v>62.057011735061394</v>
      </c>
      <c r="W10" s="79"/>
      <c r="X10" s="80">
        <v>751</v>
      </c>
      <c r="Y10" s="81">
        <v>66</v>
      </c>
      <c r="Z10" s="81">
        <v>31</v>
      </c>
      <c r="AA10" s="82">
        <f>P12-X10</f>
        <v>-751</v>
      </c>
      <c r="AB10" s="82">
        <f>Q12-Y10</f>
        <v>-66</v>
      </c>
      <c r="AC10" s="82">
        <f>R12-Z10</f>
        <v>-31</v>
      </c>
      <c r="AD10" s="81"/>
      <c r="AE10" s="81"/>
      <c r="AF10" s="81"/>
      <c r="AK10" s="171"/>
      <c r="AL10" s="171"/>
      <c r="AM10" s="171"/>
      <c r="AN10" s="171"/>
      <c r="AO10" s="171"/>
      <c r="AP10" s="171"/>
      <c r="AQ10" s="171"/>
      <c r="AR10" s="198">
        <f>H10-P10</f>
        <v>-1237.3929647947953</v>
      </c>
      <c r="AS10" s="198">
        <f t="shared" ref="AS10:AT10" si="1">I10-Q10</f>
        <v>-228.51402347012117</v>
      </c>
      <c r="AT10" s="198">
        <f t="shared" si="1"/>
        <v>-61.057011735061678</v>
      </c>
    </row>
    <row r="11" spans="1:46" s="52" customFormat="1" ht="32.1" customHeight="1">
      <c r="A11" s="217" t="s">
        <v>161</v>
      </c>
      <c r="B11" s="217"/>
      <c r="C11" s="217"/>
      <c r="D11" s="217"/>
      <c r="E11" s="217"/>
      <c r="F11" s="217"/>
      <c r="G11" s="83">
        <f t="shared" ref="G11:V11" si="2">G12+G24+G42+G44</f>
        <v>41437</v>
      </c>
      <c r="H11" s="83">
        <f t="shared" si="2"/>
        <v>36033</v>
      </c>
      <c r="I11" s="83">
        <f t="shared" si="2"/>
        <v>3603</v>
      </c>
      <c r="J11" s="83">
        <f t="shared" si="2"/>
        <v>1801</v>
      </c>
      <c r="K11" s="83">
        <f t="shared" si="2"/>
        <v>27462</v>
      </c>
      <c r="L11" s="83">
        <f t="shared" si="2"/>
        <v>23929</v>
      </c>
      <c r="M11" s="83">
        <f t="shared" si="2"/>
        <v>2393</v>
      </c>
      <c r="N11" s="83">
        <f t="shared" si="2"/>
        <v>1140</v>
      </c>
      <c r="O11" s="83">
        <f t="shared" si="2"/>
        <v>26749.157000000003</v>
      </c>
      <c r="P11" s="83">
        <f t="shared" si="2"/>
        <v>23280.157000000003</v>
      </c>
      <c r="Q11" s="83">
        <v>2328</v>
      </c>
      <c r="R11" s="83">
        <f t="shared" si="2"/>
        <v>1140</v>
      </c>
      <c r="S11" s="83">
        <f t="shared" si="2"/>
        <v>-14687.843000000001</v>
      </c>
      <c r="T11" s="83">
        <f t="shared" si="2"/>
        <v>-12752.843000000001</v>
      </c>
      <c r="U11" s="83">
        <f t="shared" si="2"/>
        <v>-1275</v>
      </c>
      <c r="V11" s="83">
        <f t="shared" si="2"/>
        <v>-660</v>
      </c>
      <c r="W11" s="84"/>
      <c r="X11" s="85">
        <f>T11+12753</f>
        <v>0.1569999999992433</v>
      </c>
      <c r="Y11" s="85">
        <f>U11+1275</f>
        <v>0</v>
      </c>
      <c r="Z11" s="85">
        <f>Z10-J12</f>
        <v>-1</v>
      </c>
      <c r="AA11" s="86"/>
      <c r="AB11" s="86"/>
      <c r="AC11" s="86"/>
      <c r="AD11" s="86"/>
      <c r="AE11" s="86"/>
      <c r="AF11" s="86"/>
      <c r="AK11" s="169"/>
      <c r="AL11" s="169"/>
      <c r="AM11" s="169"/>
      <c r="AN11" s="169"/>
      <c r="AO11" s="169"/>
      <c r="AP11" s="169"/>
      <c r="AQ11" s="169"/>
      <c r="AR11" s="169"/>
      <c r="AS11" s="169"/>
    </row>
    <row r="12" spans="1:46" s="50" customFormat="1">
      <c r="A12" s="87">
        <v>1</v>
      </c>
      <c r="B12" s="87" t="s">
        <v>227</v>
      </c>
      <c r="C12" s="87"/>
      <c r="D12" s="165">
        <f>SUM(D13:D23)</f>
        <v>22</v>
      </c>
      <c r="E12" s="88"/>
      <c r="F12" s="87"/>
      <c r="G12" s="89">
        <f t="shared" ref="G12:V12" si="3">SUM(G13:G23)</f>
        <v>966</v>
      </c>
      <c r="H12" s="89">
        <f t="shared" si="3"/>
        <v>858</v>
      </c>
      <c r="I12" s="89">
        <f t="shared" si="3"/>
        <v>76</v>
      </c>
      <c r="J12" s="89">
        <f t="shared" si="3"/>
        <v>32</v>
      </c>
      <c r="K12" s="89">
        <f t="shared" si="3"/>
        <v>0</v>
      </c>
      <c r="L12" s="89">
        <f t="shared" si="3"/>
        <v>0</v>
      </c>
      <c r="M12" s="89">
        <f t="shared" si="3"/>
        <v>0</v>
      </c>
      <c r="N12" s="89">
        <f t="shared" si="3"/>
        <v>0</v>
      </c>
      <c r="O12" s="89">
        <f t="shared" si="3"/>
        <v>0</v>
      </c>
      <c r="P12" s="89">
        <f t="shared" si="3"/>
        <v>0</v>
      </c>
      <c r="Q12" s="89">
        <f t="shared" si="3"/>
        <v>0</v>
      </c>
      <c r="R12" s="89">
        <f t="shared" si="3"/>
        <v>0</v>
      </c>
      <c r="S12" s="89">
        <f t="shared" si="3"/>
        <v>-966</v>
      </c>
      <c r="T12" s="89">
        <f t="shared" si="3"/>
        <v>-858</v>
      </c>
      <c r="U12" s="89">
        <f t="shared" si="3"/>
        <v>-76</v>
      </c>
      <c r="V12" s="89">
        <f t="shared" si="3"/>
        <v>-32</v>
      </c>
      <c r="W12" s="35"/>
      <c r="X12" s="90">
        <f>H11-P11</f>
        <v>12752.842999999997</v>
      </c>
      <c r="Y12" s="90">
        <f>I11-Q11</f>
        <v>1275</v>
      </c>
      <c r="Z12" s="90">
        <f>J11-R11</f>
        <v>661</v>
      </c>
      <c r="AA12" s="56"/>
      <c r="AB12" s="56"/>
      <c r="AC12" s="56"/>
      <c r="AD12" s="56"/>
      <c r="AE12" s="56"/>
      <c r="AF12" s="56"/>
      <c r="AK12" s="171"/>
      <c r="AL12" s="171"/>
      <c r="AM12" s="171"/>
      <c r="AN12" s="171"/>
      <c r="AO12" s="171"/>
      <c r="AP12" s="171"/>
      <c r="AQ12" s="171"/>
      <c r="AR12" s="171"/>
      <c r="AS12" s="171"/>
      <c r="AT12" s="202"/>
    </row>
    <row r="13" spans="1:46" s="50" customFormat="1" ht="25.5">
      <c r="A13" s="91" t="s">
        <v>179</v>
      </c>
      <c r="B13" s="32" t="s">
        <v>297</v>
      </c>
      <c r="C13" s="33" t="s">
        <v>298</v>
      </c>
      <c r="D13" s="33">
        <v>3</v>
      </c>
      <c r="E13" s="33" t="s">
        <v>14</v>
      </c>
      <c r="F13" s="33" t="s">
        <v>157</v>
      </c>
      <c r="G13" s="89">
        <f t="shared" ref="G13:G14" si="4">H13+I13+J13</f>
        <v>133</v>
      </c>
      <c r="H13" s="92">
        <v>117</v>
      </c>
      <c r="I13" s="92">
        <v>11</v>
      </c>
      <c r="J13" s="92">
        <v>5</v>
      </c>
      <c r="K13" s="89">
        <f>L13+M13+N13</f>
        <v>0</v>
      </c>
      <c r="L13" s="92"/>
      <c r="M13" s="92"/>
      <c r="N13" s="92"/>
      <c r="O13" s="89">
        <f>P13+Q13+R13</f>
        <v>0</v>
      </c>
      <c r="P13" s="92">
        <f>H13+T13</f>
        <v>0</v>
      </c>
      <c r="Q13" s="92">
        <f>I13+U13</f>
        <v>0</v>
      </c>
      <c r="R13" s="92">
        <f>J13+V13</f>
        <v>0</v>
      </c>
      <c r="S13" s="89">
        <f>T13+U13+V13</f>
        <v>-133</v>
      </c>
      <c r="T13" s="92">
        <f>-H13</f>
        <v>-117</v>
      </c>
      <c r="U13" s="92">
        <f t="shared" ref="U13:V13" si="5">-I13</f>
        <v>-11</v>
      </c>
      <c r="V13" s="92">
        <f t="shared" si="5"/>
        <v>-5</v>
      </c>
      <c r="W13" s="93"/>
      <c r="X13" s="90"/>
      <c r="Y13" s="56"/>
      <c r="Z13" s="56"/>
      <c r="AA13" s="56"/>
      <c r="AB13" s="56"/>
      <c r="AC13" s="56"/>
      <c r="AD13" s="56"/>
      <c r="AE13" s="56"/>
      <c r="AF13" s="56"/>
      <c r="AK13" s="171"/>
      <c r="AL13" s="171"/>
      <c r="AM13" s="171"/>
      <c r="AN13" s="171"/>
      <c r="AO13" s="171"/>
      <c r="AP13" s="171"/>
      <c r="AQ13" s="171"/>
      <c r="AR13" s="171"/>
      <c r="AS13" s="171"/>
    </row>
    <row r="14" spans="1:46" s="50" customFormat="1" ht="25.5">
      <c r="A14" s="91" t="s">
        <v>180</v>
      </c>
      <c r="B14" s="32" t="s">
        <v>299</v>
      </c>
      <c r="C14" s="33" t="s">
        <v>84</v>
      </c>
      <c r="D14" s="33">
        <v>3</v>
      </c>
      <c r="E14" s="33" t="s">
        <v>83</v>
      </c>
      <c r="F14" s="33" t="s">
        <v>157</v>
      </c>
      <c r="G14" s="89">
        <f t="shared" si="4"/>
        <v>133</v>
      </c>
      <c r="H14" s="92">
        <v>117</v>
      </c>
      <c r="I14" s="92">
        <v>11</v>
      </c>
      <c r="J14" s="92">
        <v>5</v>
      </c>
      <c r="K14" s="89">
        <f t="shared" ref="K14:K81" si="6">L14+M14+N14</f>
        <v>0</v>
      </c>
      <c r="L14" s="92"/>
      <c r="M14" s="92"/>
      <c r="N14" s="92"/>
      <c r="O14" s="89">
        <f t="shared" ref="O14:O81" si="7">P14+Q14+R14</f>
        <v>0</v>
      </c>
      <c r="P14" s="92">
        <f t="shared" ref="P14:P81" si="8">H14+T14</f>
        <v>0</v>
      </c>
      <c r="Q14" s="92">
        <f t="shared" ref="Q14:Q81" si="9">I14+U14</f>
        <v>0</v>
      </c>
      <c r="R14" s="92">
        <f t="shared" ref="R14:R81" si="10">J14+V14</f>
        <v>0</v>
      </c>
      <c r="S14" s="89">
        <f t="shared" ref="S14:S81" si="11">T14+U14+V14</f>
        <v>-133</v>
      </c>
      <c r="T14" s="92">
        <f t="shared" ref="T14:T23" si="12">-H14</f>
        <v>-117</v>
      </c>
      <c r="U14" s="92">
        <f t="shared" ref="U14:U23" si="13">-I14</f>
        <v>-11</v>
      </c>
      <c r="V14" s="92">
        <f t="shared" ref="V14:V23" si="14">-J14</f>
        <v>-5</v>
      </c>
      <c r="W14" s="93"/>
      <c r="X14" s="90"/>
      <c r="Y14" s="56"/>
      <c r="Z14" s="56"/>
      <c r="AA14" s="56"/>
      <c r="AB14" s="56"/>
      <c r="AC14" s="56"/>
      <c r="AD14" s="56"/>
      <c r="AE14" s="56"/>
      <c r="AF14" s="56"/>
      <c r="AK14" s="171"/>
      <c r="AL14" s="171"/>
      <c r="AM14" s="171"/>
      <c r="AN14" s="171"/>
      <c r="AO14" s="171"/>
      <c r="AP14" s="171"/>
      <c r="AQ14" s="171"/>
      <c r="AR14" s="171"/>
      <c r="AS14" s="171"/>
    </row>
    <row r="15" spans="1:46" s="50" customFormat="1" ht="25.5">
      <c r="A15" s="91" t="s">
        <v>316</v>
      </c>
      <c r="B15" s="32" t="s">
        <v>300</v>
      </c>
      <c r="C15" s="33" t="s">
        <v>285</v>
      </c>
      <c r="D15" s="33">
        <v>1</v>
      </c>
      <c r="E15" s="33" t="s">
        <v>311</v>
      </c>
      <c r="F15" s="33" t="s">
        <v>157</v>
      </c>
      <c r="G15" s="89">
        <f>H15+I15+J15</f>
        <v>43</v>
      </c>
      <c r="H15" s="92">
        <v>39</v>
      </c>
      <c r="I15" s="92">
        <v>3</v>
      </c>
      <c r="J15" s="92">
        <v>1</v>
      </c>
      <c r="K15" s="89">
        <f t="shared" si="6"/>
        <v>0</v>
      </c>
      <c r="L15" s="92"/>
      <c r="M15" s="92"/>
      <c r="N15" s="92"/>
      <c r="O15" s="89">
        <f t="shared" si="7"/>
        <v>0</v>
      </c>
      <c r="P15" s="92">
        <f t="shared" si="8"/>
        <v>0</v>
      </c>
      <c r="Q15" s="92">
        <f t="shared" si="9"/>
        <v>0</v>
      </c>
      <c r="R15" s="92">
        <f t="shared" si="10"/>
        <v>0</v>
      </c>
      <c r="S15" s="89">
        <f t="shared" si="11"/>
        <v>-43</v>
      </c>
      <c r="T15" s="92">
        <f t="shared" si="12"/>
        <v>-39</v>
      </c>
      <c r="U15" s="92">
        <f t="shared" si="13"/>
        <v>-3</v>
      </c>
      <c r="V15" s="92">
        <f t="shared" si="14"/>
        <v>-1</v>
      </c>
      <c r="W15" s="93"/>
      <c r="X15" s="90"/>
      <c r="Y15" s="56"/>
      <c r="Z15" s="56"/>
      <c r="AA15" s="56"/>
      <c r="AB15" s="56"/>
      <c r="AC15" s="56"/>
      <c r="AD15" s="56"/>
      <c r="AE15" s="56"/>
      <c r="AF15" s="56"/>
      <c r="AK15" s="171"/>
      <c r="AL15" s="171"/>
      <c r="AM15" s="171"/>
      <c r="AN15" s="171"/>
      <c r="AO15" s="171"/>
      <c r="AP15" s="171"/>
      <c r="AQ15" s="171"/>
      <c r="AR15" s="171"/>
      <c r="AS15" s="171"/>
    </row>
    <row r="16" spans="1:46" s="50" customFormat="1" ht="25.5">
      <c r="A16" s="91" t="s">
        <v>317</v>
      </c>
      <c r="B16" s="32" t="s">
        <v>301</v>
      </c>
      <c r="C16" s="33" t="s">
        <v>59</v>
      </c>
      <c r="D16" s="33">
        <v>1</v>
      </c>
      <c r="E16" s="33" t="s">
        <v>55</v>
      </c>
      <c r="F16" s="33" t="s">
        <v>157</v>
      </c>
      <c r="G16" s="89">
        <f t="shared" ref="G16:G17" si="15">H16+I16+J16</f>
        <v>43</v>
      </c>
      <c r="H16" s="92">
        <v>39</v>
      </c>
      <c r="I16" s="92">
        <v>3</v>
      </c>
      <c r="J16" s="92">
        <v>1</v>
      </c>
      <c r="K16" s="89">
        <f t="shared" si="6"/>
        <v>0</v>
      </c>
      <c r="L16" s="92"/>
      <c r="M16" s="92"/>
      <c r="N16" s="92"/>
      <c r="O16" s="89">
        <f t="shared" si="7"/>
        <v>0</v>
      </c>
      <c r="P16" s="92">
        <f t="shared" si="8"/>
        <v>0</v>
      </c>
      <c r="Q16" s="92">
        <f t="shared" si="9"/>
        <v>0</v>
      </c>
      <c r="R16" s="92">
        <f t="shared" si="10"/>
        <v>0</v>
      </c>
      <c r="S16" s="89">
        <f t="shared" si="11"/>
        <v>-43</v>
      </c>
      <c r="T16" s="92">
        <f t="shared" si="12"/>
        <v>-39</v>
      </c>
      <c r="U16" s="92">
        <f t="shared" si="13"/>
        <v>-3</v>
      </c>
      <c r="V16" s="92">
        <f t="shared" si="14"/>
        <v>-1</v>
      </c>
      <c r="W16" s="93"/>
      <c r="X16" s="90"/>
      <c r="Y16" s="56"/>
      <c r="Z16" s="56"/>
      <c r="AA16" s="56"/>
      <c r="AB16" s="56"/>
      <c r="AC16" s="56"/>
      <c r="AD16" s="56"/>
      <c r="AE16" s="56"/>
      <c r="AF16" s="56"/>
      <c r="AK16" s="171"/>
      <c r="AL16" s="171"/>
      <c r="AM16" s="171"/>
      <c r="AN16" s="171"/>
      <c r="AO16" s="171"/>
      <c r="AP16" s="171"/>
      <c r="AQ16" s="171"/>
      <c r="AR16" s="171"/>
      <c r="AS16" s="171"/>
    </row>
    <row r="17" spans="1:46" s="50" customFormat="1" ht="25.5">
      <c r="A17" s="91" t="s">
        <v>318</v>
      </c>
      <c r="B17" s="32" t="s">
        <v>302</v>
      </c>
      <c r="C17" s="33" t="s">
        <v>303</v>
      </c>
      <c r="D17" s="33">
        <v>2</v>
      </c>
      <c r="E17" s="33" t="s">
        <v>44</v>
      </c>
      <c r="F17" s="33" t="s">
        <v>157</v>
      </c>
      <c r="G17" s="89">
        <f t="shared" si="15"/>
        <v>88</v>
      </c>
      <c r="H17" s="92">
        <v>78</v>
      </c>
      <c r="I17" s="92">
        <v>7</v>
      </c>
      <c r="J17" s="92">
        <v>3</v>
      </c>
      <c r="K17" s="89">
        <f t="shared" si="6"/>
        <v>0</v>
      </c>
      <c r="L17" s="92"/>
      <c r="M17" s="92"/>
      <c r="N17" s="92"/>
      <c r="O17" s="89">
        <f t="shared" si="7"/>
        <v>0</v>
      </c>
      <c r="P17" s="92">
        <f t="shared" si="8"/>
        <v>0</v>
      </c>
      <c r="Q17" s="92">
        <f t="shared" si="9"/>
        <v>0</v>
      </c>
      <c r="R17" s="92">
        <f t="shared" si="10"/>
        <v>0</v>
      </c>
      <c r="S17" s="89">
        <f t="shared" si="11"/>
        <v>-88</v>
      </c>
      <c r="T17" s="92">
        <f t="shared" si="12"/>
        <v>-78</v>
      </c>
      <c r="U17" s="92">
        <f t="shared" si="13"/>
        <v>-7</v>
      </c>
      <c r="V17" s="92">
        <f t="shared" si="14"/>
        <v>-3</v>
      </c>
      <c r="W17" s="93"/>
      <c r="X17" s="90"/>
      <c r="Y17" s="56"/>
      <c r="Z17" s="56"/>
      <c r="AA17" s="56"/>
      <c r="AB17" s="56"/>
      <c r="AC17" s="56"/>
      <c r="AD17" s="56"/>
      <c r="AE17" s="56"/>
      <c r="AF17" s="56"/>
      <c r="AK17" s="171"/>
      <c r="AL17" s="171"/>
      <c r="AM17" s="171"/>
      <c r="AN17" s="171"/>
      <c r="AO17" s="171"/>
      <c r="AP17" s="171"/>
      <c r="AQ17" s="171"/>
      <c r="AR17" s="171"/>
      <c r="AS17" s="171"/>
    </row>
    <row r="18" spans="1:46" s="50" customFormat="1" ht="25.5">
      <c r="A18" s="91" t="s">
        <v>319</v>
      </c>
      <c r="B18" s="32" t="s">
        <v>304</v>
      </c>
      <c r="C18" s="33" t="s">
        <v>110</v>
      </c>
      <c r="D18" s="33">
        <v>1</v>
      </c>
      <c r="E18" s="33" t="s">
        <v>109</v>
      </c>
      <c r="F18" s="33" t="s">
        <v>157</v>
      </c>
      <c r="G18" s="89">
        <f>H18+I18+J18</f>
        <v>43</v>
      </c>
      <c r="H18" s="92">
        <v>39</v>
      </c>
      <c r="I18" s="92">
        <v>3</v>
      </c>
      <c r="J18" s="92">
        <v>1</v>
      </c>
      <c r="K18" s="89">
        <f t="shared" si="6"/>
        <v>0</v>
      </c>
      <c r="L18" s="92"/>
      <c r="M18" s="92"/>
      <c r="N18" s="92"/>
      <c r="O18" s="89">
        <f t="shared" si="7"/>
        <v>0</v>
      </c>
      <c r="P18" s="92">
        <f t="shared" si="8"/>
        <v>0</v>
      </c>
      <c r="Q18" s="92">
        <f t="shared" si="9"/>
        <v>0</v>
      </c>
      <c r="R18" s="92">
        <f t="shared" si="10"/>
        <v>0</v>
      </c>
      <c r="S18" s="89">
        <f t="shared" si="11"/>
        <v>-43</v>
      </c>
      <c r="T18" s="92">
        <f t="shared" si="12"/>
        <v>-39</v>
      </c>
      <c r="U18" s="92">
        <f t="shared" si="13"/>
        <v>-3</v>
      </c>
      <c r="V18" s="92">
        <f t="shared" si="14"/>
        <v>-1</v>
      </c>
      <c r="W18" s="93"/>
      <c r="X18" s="90"/>
      <c r="Y18" s="56"/>
      <c r="Z18" s="56"/>
      <c r="AA18" s="56"/>
      <c r="AB18" s="56"/>
      <c r="AC18" s="56"/>
      <c r="AD18" s="56"/>
      <c r="AE18" s="56"/>
      <c r="AF18" s="56"/>
      <c r="AK18" s="171"/>
      <c r="AL18" s="171"/>
      <c r="AM18" s="171"/>
      <c r="AN18" s="171"/>
      <c r="AO18" s="171"/>
      <c r="AP18" s="171"/>
      <c r="AQ18" s="171"/>
      <c r="AR18" s="171"/>
      <c r="AS18" s="171"/>
    </row>
    <row r="19" spans="1:46" s="50" customFormat="1" ht="25.5">
      <c r="A19" s="91" t="s">
        <v>320</v>
      </c>
      <c r="B19" s="32" t="s">
        <v>305</v>
      </c>
      <c r="C19" s="33" t="s">
        <v>124</v>
      </c>
      <c r="D19" s="33">
        <v>5</v>
      </c>
      <c r="E19" s="33" t="s">
        <v>120</v>
      </c>
      <c r="F19" s="33" t="s">
        <v>157</v>
      </c>
      <c r="G19" s="89">
        <f t="shared" ref="G19:G20" si="16">H19+I19+J19</f>
        <v>221</v>
      </c>
      <c r="H19" s="92">
        <v>195</v>
      </c>
      <c r="I19" s="92">
        <v>18</v>
      </c>
      <c r="J19" s="92">
        <v>8</v>
      </c>
      <c r="K19" s="89">
        <f t="shared" si="6"/>
        <v>0</v>
      </c>
      <c r="L19" s="92"/>
      <c r="M19" s="92"/>
      <c r="N19" s="92"/>
      <c r="O19" s="89">
        <f t="shared" si="7"/>
        <v>0</v>
      </c>
      <c r="P19" s="92">
        <f t="shared" si="8"/>
        <v>0</v>
      </c>
      <c r="Q19" s="92">
        <f t="shared" si="9"/>
        <v>0</v>
      </c>
      <c r="R19" s="92">
        <f t="shared" si="10"/>
        <v>0</v>
      </c>
      <c r="S19" s="89">
        <f t="shared" si="11"/>
        <v>-221</v>
      </c>
      <c r="T19" s="92">
        <f t="shared" si="12"/>
        <v>-195</v>
      </c>
      <c r="U19" s="92">
        <f t="shared" si="13"/>
        <v>-18</v>
      </c>
      <c r="V19" s="92">
        <f t="shared" si="14"/>
        <v>-8</v>
      </c>
      <c r="W19" s="93"/>
      <c r="X19" s="90"/>
      <c r="Y19" s="56"/>
      <c r="Z19" s="56"/>
      <c r="AA19" s="56"/>
      <c r="AB19" s="56"/>
      <c r="AC19" s="56"/>
      <c r="AD19" s="56"/>
      <c r="AE19" s="56"/>
      <c r="AF19" s="56"/>
      <c r="AK19" s="171"/>
      <c r="AL19" s="171"/>
      <c r="AM19" s="171"/>
      <c r="AN19" s="171"/>
      <c r="AO19" s="171"/>
      <c r="AP19" s="171"/>
      <c r="AQ19" s="171"/>
      <c r="AR19" s="171"/>
      <c r="AS19" s="171"/>
    </row>
    <row r="20" spans="1:46" s="50" customFormat="1" ht="25.5">
      <c r="A20" s="91" t="s">
        <v>321</v>
      </c>
      <c r="B20" s="32" t="s">
        <v>306</v>
      </c>
      <c r="C20" s="33" t="s">
        <v>133</v>
      </c>
      <c r="D20" s="33">
        <v>2</v>
      </c>
      <c r="E20" s="33" t="s">
        <v>130</v>
      </c>
      <c r="F20" s="33" t="s">
        <v>157</v>
      </c>
      <c r="G20" s="89">
        <f t="shared" si="16"/>
        <v>88</v>
      </c>
      <c r="H20" s="92">
        <v>78</v>
      </c>
      <c r="I20" s="92">
        <v>7</v>
      </c>
      <c r="J20" s="92">
        <v>3</v>
      </c>
      <c r="K20" s="89">
        <f t="shared" si="6"/>
        <v>0</v>
      </c>
      <c r="L20" s="92"/>
      <c r="M20" s="92"/>
      <c r="N20" s="92"/>
      <c r="O20" s="89">
        <f t="shared" si="7"/>
        <v>0</v>
      </c>
      <c r="P20" s="92">
        <f t="shared" si="8"/>
        <v>0</v>
      </c>
      <c r="Q20" s="92">
        <f t="shared" si="9"/>
        <v>0</v>
      </c>
      <c r="R20" s="92">
        <f t="shared" si="10"/>
        <v>0</v>
      </c>
      <c r="S20" s="89">
        <f t="shared" si="11"/>
        <v>-88</v>
      </c>
      <c r="T20" s="92">
        <f t="shared" si="12"/>
        <v>-78</v>
      </c>
      <c r="U20" s="92">
        <f t="shared" si="13"/>
        <v>-7</v>
      </c>
      <c r="V20" s="92">
        <f t="shared" si="14"/>
        <v>-3</v>
      </c>
      <c r="W20" s="93"/>
      <c r="X20" s="90"/>
      <c r="Y20" s="56"/>
      <c r="Z20" s="56"/>
      <c r="AA20" s="56"/>
      <c r="AB20" s="56"/>
      <c r="AC20" s="56"/>
      <c r="AD20" s="56"/>
      <c r="AE20" s="56"/>
      <c r="AF20" s="56"/>
      <c r="AK20" s="171"/>
      <c r="AL20" s="171"/>
      <c r="AM20" s="171"/>
      <c r="AN20" s="171"/>
      <c r="AO20" s="171"/>
      <c r="AP20" s="171"/>
      <c r="AQ20" s="171"/>
      <c r="AR20" s="171"/>
      <c r="AS20" s="171"/>
    </row>
    <row r="21" spans="1:46" s="50" customFormat="1" ht="25.5">
      <c r="A21" s="91" t="s">
        <v>322</v>
      </c>
      <c r="B21" s="32" t="s">
        <v>307</v>
      </c>
      <c r="C21" s="33" t="s">
        <v>65</v>
      </c>
      <c r="D21" s="33">
        <v>1</v>
      </c>
      <c r="E21" s="33" t="s">
        <v>61</v>
      </c>
      <c r="F21" s="33" t="s">
        <v>157</v>
      </c>
      <c r="G21" s="89">
        <f>H21+I21+J21</f>
        <v>43</v>
      </c>
      <c r="H21" s="92">
        <v>39</v>
      </c>
      <c r="I21" s="92">
        <v>3</v>
      </c>
      <c r="J21" s="92">
        <v>1</v>
      </c>
      <c r="K21" s="89">
        <f t="shared" si="6"/>
        <v>0</v>
      </c>
      <c r="L21" s="92"/>
      <c r="M21" s="92"/>
      <c r="N21" s="92"/>
      <c r="O21" s="89">
        <f t="shared" si="7"/>
        <v>0</v>
      </c>
      <c r="P21" s="92">
        <f t="shared" si="8"/>
        <v>0</v>
      </c>
      <c r="Q21" s="92">
        <f t="shared" si="9"/>
        <v>0</v>
      </c>
      <c r="R21" s="92">
        <f t="shared" si="10"/>
        <v>0</v>
      </c>
      <c r="S21" s="89">
        <f t="shared" si="11"/>
        <v>-43</v>
      </c>
      <c r="T21" s="92">
        <f t="shared" si="12"/>
        <v>-39</v>
      </c>
      <c r="U21" s="92">
        <f t="shared" si="13"/>
        <v>-3</v>
      </c>
      <c r="V21" s="92">
        <f t="shared" si="14"/>
        <v>-1</v>
      </c>
      <c r="W21" s="93"/>
      <c r="X21" s="90"/>
      <c r="Y21" s="56"/>
      <c r="Z21" s="56"/>
      <c r="AA21" s="56"/>
      <c r="AB21" s="56"/>
      <c r="AC21" s="56"/>
      <c r="AD21" s="56"/>
      <c r="AE21" s="56"/>
      <c r="AF21" s="56"/>
      <c r="AK21" s="171"/>
      <c r="AL21" s="171"/>
      <c r="AM21" s="171"/>
      <c r="AN21" s="171"/>
      <c r="AO21" s="171"/>
      <c r="AP21" s="171"/>
      <c r="AQ21" s="171"/>
      <c r="AR21" s="171"/>
      <c r="AS21" s="171"/>
    </row>
    <row r="22" spans="1:46" s="50" customFormat="1" ht="33">
      <c r="A22" s="91" t="s">
        <v>323</v>
      </c>
      <c r="B22" s="32" t="s">
        <v>308</v>
      </c>
      <c r="C22" s="33" t="s">
        <v>309</v>
      </c>
      <c r="D22" s="33">
        <v>2</v>
      </c>
      <c r="E22" s="33" t="s">
        <v>145</v>
      </c>
      <c r="F22" s="33" t="s">
        <v>157</v>
      </c>
      <c r="G22" s="89">
        <f t="shared" ref="G22" si="17">H22+I22+J22</f>
        <v>88</v>
      </c>
      <c r="H22" s="92">
        <v>78</v>
      </c>
      <c r="I22" s="92">
        <v>7</v>
      </c>
      <c r="J22" s="92">
        <v>3</v>
      </c>
      <c r="K22" s="89">
        <f t="shared" si="6"/>
        <v>0</v>
      </c>
      <c r="L22" s="92"/>
      <c r="M22" s="92"/>
      <c r="N22" s="92"/>
      <c r="O22" s="89">
        <f t="shared" si="7"/>
        <v>0</v>
      </c>
      <c r="P22" s="92">
        <f t="shared" si="8"/>
        <v>0</v>
      </c>
      <c r="Q22" s="92">
        <f t="shared" si="9"/>
        <v>0</v>
      </c>
      <c r="R22" s="92">
        <f t="shared" si="10"/>
        <v>0</v>
      </c>
      <c r="S22" s="89">
        <f t="shared" si="11"/>
        <v>-88</v>
      </c>
      <c r="T22" s="92">
        <f t="shared" si="12"/>
        <v>-78</v>
      </c>
      <c r="U22" s="92">
        <f t="shared" si="13"/>
        <v>-7</v>
      </c>
      <c r="V22" s="92">
        <f t="shared" si="14"/>
        <v>-3</v>
      </c>
      <c r="W22" s="93"/>
      <c r="X22" s="90"/>
      <c r="Y22" s="56"/>
      <c r="Z22" s="56"/>
      <c r="AA22" s="56"/>
      <c r="AB22" s="56"/>
      <c r="AC22" s="56"/>
      <c r="AD22" s="56"/>
      <c r="AE22" s="56"/>
      <c r="AF22" s="56"/>
      <c r="AK22" s="171"/>
      <c r="AL22" s="171"/>
      <c r="AM22" s="171"/>
      <c r="AN22" s="171"/>
      <c r="AO22" s="171"/>
      <c r="AP22" s="171"/>
      <c r="AQ22" s="171"/>
      <c r="AR22" s="171"/>
      <c r="AS22" s="171"/>
    </row>
    <row r="23" spans="1:46" s="50" customFormat="1" ht="33">
      <c r="A23" s="91" t="s">
        <v>324</v>
      </c>
      <c r="B23" s="32" t="s">
        <v>310</v>
      </c>
      <c r="C23" s="33" t="s">
        <v>150</v>
      </c>
      <c r="D23" s="33">
        <v>1</v>
      </c>
      <c r="E23" s="33" t="s">
        <v>312</v>
      </c>
      <c r="F23" s="33" t="s">
        <v>157</v>
      </c>
      <c r="G23" s="89">
        <f>H23+I23+J23</f>
        <v>43</v>
      </c>
      <c r="H23" s="92">
        <v>39</v>
      </c>
      <c r="I23" s="92">
        <v>3</v>
      </c>
      <c r="J23" s="92">
        <v>1</v>
      </c>
      <c r="K23" s="89">
        <f t="shared" si="6"/>
        <v>0</v>
      </c>
      <c r="L23" s="92"/>
      <c r="M23" s="92"/>
      <c r="N23" s="92"/>
      <c r="O23" s="89">
        <f t="shared" si="7"/>
        <v>0</v>
      </c>
      <c r="P23" s="92">
        <f t="shared" si="8"/>
        <v>0</v>
      </c>
      <c r="Q23" s="92">
        <f t="shared" si="9"/>
        <v>0</v>
      </c>
      <c r="R23" s="92">
        <f t="shared" si="10"/>
        <v>0</v>
      </c>
      <c r="S23" s="89">
        <f t="shared" si="11"/>
        <v>-43</v>
      </c>
      <c r="T23" s="92">
        <f t="shared" si="12"/>
        <v>-39</v>
      </c>
      <c r="U23" s="92">
        <f t="shared" si="13"/>
        <v>-3</v>
      </c>
      <c r="V23" s="92">
        <f t="shared" si="14"/>
        <v>-1</v>
      </c>
      <c r="W23" s="93"/>
      <c r="X23" s="80">
        <v>17964</v>
      </c>
      <c r="Y23" s="81">
        <v>1802</v>
      </c>
      <c r="Z23" s="81">
        <v>906</v>
      </c>
      <c r="AA23" s="82">
        <f>P24-X23</f>
        <v>-11399.126</v>
      </c>
      <c r="AB23" s="82">
        <f>Q24-Y23</f>
        <v>-1109</v>
      </c>
      <c r="AC23" s="82">
        <f>R24-Z23</f>
        <v>-559</v>
      </c>
      <c r="AD23" s="56"/>
      <c r="AE23" s="56"/>
      <c r="AF23" s="56"/>
      <c r="AK23" s="171"/>
      <c r="AL23" s="171"/>
      <c r="AM23" s="171"/>
      <c r="AN23" s="171"/>
      <c r="AO23" s="171"/>
      <c r="AP23" s="171"/>
      <c r="AQ23" s="171"/>
      <c r="AR23" s="171"/>
      <c r="AS23" s="171"/>
    </row>
    <row r="24" spans="1:46" s="50" customFormat="1">
      <c r="A24" s="94">
        <v>2</v>
      </c>
      <c r="B24" s="95" t="s">
        <v>228</v>
      </c>
      <c r="C24" s="96"/>
      <c r="D24" s="96">
        <f>SUM(D25:D41)</f>
        <v>460</v>
      </c>
      <c r="E24" s="96"/>
      <c r="F24" s="97"/>
      <c r="G24" s="98">
        <f>SUM(G25:G41)</f>
        <v>20548</v>
      </c>
      <c r="H24" s="98">
        <f t="shared" ref="H24:V24" si="18">SUM(H25:H41)</f>
        <v>17851</v>
      </c>
      <c r="I24" s="98">
        <f t="shared" si="18"/>
        <v>1792</v>
      </c>
      <c r="J24" s="98">
        <f t="shared" si="18"/>
        <v>905</v>
      </c>
      <c r="K24" s="98">
        <f t="shared" si="18"/>
        <v>8003</v>
      </c>
      <c r="L24" s="98">
        <f t="shared" si="18"/>
        <v>6961</v>
      </c>
      <c r="M24" s="98">
        <f t="shared" si="18"/>
        <v>695</v>
      </c>
      <c r="N24" s="98">
        <f t="shared" si="18"/>
        <v>347</v>
      </c>
      <c r="O24" s="98">
        <f t="shared" si="18"/>
        <v>7604.8739999999998</v>
      </c>
      <c r="P24" s="98">
        <f t="shared" si="18"/>
        <v>6564.8739999999998</v>
      </c>
      <c r="Q24" s="98">
        <f t="shared" si="18"/>
        <v>693</v>
      </c>
      <c r="R24" s="98">
        <f t="shared" si="18"/>
        <v>347</v>
      </c>
      <c r="S24" s="98">
        <f t="shared" si="18"/>
        <v>-12943.126</v>
      </c>
      <c r="T24" s="98">
        <f t="shared" si="18"/>
        <v>-11286.126</v>
      </c>
      <c r="U24" s="98">
        <f t="shared" si="18"/>
        <v>-1100</v>
      </c>
      <c r="V24" s="98">
        <f t="shared" si="18"/>
        <v>-557</v>
      </c>
      <c r="W24" s="35"/>
      <c r="X24" s="90">
        <f>X23-H24</f>
        <v>113</v>
      </c>
      <c r="Y24" s="56">
        <f>Y23-I24</f>
        <v>10</v>
      </c>
      <c r="Z24" s="56">
        <f>Z23-J24</f>
        <v>1</v>
      </c>
      <c r="AA24" s="56"/>
      <c r="AB24" s="56"/>
      <c r="AC24" s="56"/>
      <c r="AD24" s="56"/>
      <c r="AE24" s="56"/>
      <c r="AF24" s="56"/>
      <c r="AK24" s="171"/>
      <c r="AL24" s="171"/>
      <c r="AM24" s="171"/>
      <c r="AN24" s="171"/>
      <c r="AO24" s="171"/>
      <c r="AP24" s="171"/>
      <c r="AQ24" s="171"/>
      <c r="AR24" s="171"/>
      <c r="AS24" s="171"/>
    </row>
    <row r="25" spans="1:46" s="50" customFormat="1" ht="25.5">
      <c r="A25" s="94" t="s">
        <v>181</v>
      </c>
      <c r="B25" s="32" t="s">
        <v>14</v>
      </c>
      <c r="C25" s="33" t="s">
        <v>298</v>
      </c>
      <c r="D25" s="33">
        <v>43</v>
      </c>
      <c r="E25" s="33" t="s">
        <v>14</v>
      </c>
      <c r="F25" s="97" t="s">
        <v>157</v>
      </c>
      <c r="G25" s="98">
        <f t="shared" ref="G25" si="19">H25+I25+J25</f>
        <v>1927</v>
      </c>
      <c r="H25" s="99">
        <v>1677</v>
      </c>
      <c r="I25" s="99">
        <v>167</v>
      </c>
      <c r="J25" s="99">
        <v>83</v>
      </c>
      <c r="K25" s="89">
        <f t="shared" si="6"/>
        <v>45</v>
      </c>
      <c r="L25" s="175">
        <f t="shared" ref="L25:L26" si="20">AH25+AL25</f>
        <v>39</v>
      </c>
      <c r="M25" s="175">
        <f t="shared" ref="M25:M26" si="21">AI25+AM25</f>
        <v>4</v>
      </c>
      <c r="N25" s="175">
        <f t="shared" ref="N25:N26" si="22">AJ25+AN25</f>
        <v>2</v>
      </c>
      <c r="O25" s="89">
        <f>P25+Q25+R25</f>
        <v>45</v>
      </c>
      <c r="P25" s="92">
        <f>AL25+AP25</f>
        <v>39</v>
      </c>
      <c r="Q25" s="92">
        <f t="shared" ref="Q25:R25" si="23">AM25+AQ25</f>
        <v>4</v>
      </c>
      <c r="R25" s="92">
        <f t="shared" si="23"/>
        <v>2</v>
      </c>
      <c r="S25" s="89">
        <f t="shared" si="11"/>
        <v>-1882</v>
      </c>
      <c r="T25" s="92">
        <f>P25-H25</f>
        <v>-1638</v>
      </c>
      <c r="U25" s="92">
        <f t="shared" ref="U25:V25" si="24">Q25-I25</f>
        <v>-163</v>
      </c>
      <c r="V25" s="92">
        <f t="shared" si="24"/>
        <v>-81</v>
      </c>
      <c r="W25" s="93"/>
      <c r="X25" s="90"/>
      <c r="Y25" s="56"/>
      <c r="Z25" s="56"/>
      <c r="AA25" s="56"/>
      <c r="AB25" s="56"/>
      <c r="AC25" s="56"/>
      <c r="AD25" s="56"/>
      <c r="AE25" s="56"/>
      <c r="AF25" s="56"/>
      <c r="AK25" s="171"/>
      <c r="AL25" s="171">
        <v>39</v>
      </c>
      <c r="AM25" s="171">
        <v>4</v>
      </c>
      <c r="AN25" s="171">
        <v>2</v>
      </c>
      <c r="AO25" s="171"/>
      <c r="AP25" s="171"/>
      <c r="AQ25" s="171"/>
      <c r="AR25" s="171"/>
      <c r="AS25" s="171"/>
    </row>
    <row r="26" spans="1:46" s="50" customFormat="1" ht="25.5">
      <c r="A26" s="94" t="s">
        <v>182</v>
      </c>
      <c r="B26" s="32" t="s">
        <v>83</v>
      </c>
      <c r="C26" s="33" t="s">
        <v>84</v>
      </c>
      <c r="D26" s="33">
        <v>14</v>
      </c>
      <c r="E26" s="33" t="s">
        <v>83</v>
      </c>
      <c r="F26" s="97" t="s">
        <v>157</v>
      </c>
      <c r="G26" s="98">
        <f>H26+I26+J26</f>
        <v>627</v>
      </c>
      <c r="H26" s="99">
        <v>546</v>
      </c>
      <c r="I26" s="99">
        <v>54</v>
      </c>
      <c r="J26" s="99">
        <v>27</v>
      </c>
      <c r="K26" s="89">
        <f t="shared" si="6"/>
        <v>0</v>
      </c>
      <c r="L26" s="175">
        <f t="shared" si="20"/>
        <v>0</v>
      </c>
      <c r="M26" s="175">
        <f t="shared" si="21"/>
        <v>0</v>
      </c>
      <c r="N26" s="175">
        <f t="shared" si="22"/>
        <v>0</v>
      </c>
      <c r="O26" s="89">
        <f t="shared" ref="O26:O33" si="25">P26+Q26+R26</f>
        <v>0</v>
      </c>
      <c r="P26" s="92">
        <f t="shared" ref="P26:P41" si="26">AL26+AP26</f>
        <v>0</v>
      </c>
      <c r="Q26" s="92">
        <f t="shared" ref="Q26:Q41" si="27">AM26+AQ26</f>
        <v>0</v>
      </c>
      <c r="R26" s="92">
        <f t="shared" ref="R26:R41" si="28">AN26+AR26</f>
        <v>0</v>
      </c>
      <c r="S26" s="89">
        <f t="shared" si="11"/>
        <v>-627</v>
      </c>
      <c r="T26" s="92">
        <f t="shared" ref="T26:T41" si="29">P26-H26</f>
        <v>-546</v>
      </c>
      <c r="U26" s="92">
        <f t="shared" ref="U26:U40" si="30">Q26-I26</f>
        <v>-54</v>
      </c>
      <c r="V26" s="92">
        <f t="shared" ref="V26:V40" si="31">R26-J26</f>
        <v>-27</v>
      </c>
      <c r="W26" s="93"/>
      <c r="X26" s="90"/>
      <c r="Y26" s="56"/>
      <c r="Z26" s="56"/>
      <c r="AA26" s="56"/>
      <c r="AB26" s="56"/>
      <c r="AC26" s="56"/>
      <c r="AD26" s="56"/>
      <c r="AE26" s="56"/>
      <c r="AF26" s="56"/>
      <c r="AK26" s="171"/>
      <c r="AL26" s="171"/>
      <c r="AM26" s="171"/>
      <c r="AN26" s="171"/>
      <c r="AO26" s="171"/>
      <c r="AP26" s="171"/>
      <c r="AQ26" s="171"/>
      <c r="AR26" s="171"/>
      <c r="AS26" s="171"/>
    </row>
    <row r="27" spans="1:46" s="50" customFormat="1" ht="25.5">
      <c r="A27" s="94" t="s">
        <v>183</v>
      </c>
      <c r="B27" s="32" t="s">
        <v>311</v>
      </c>
      <c r="C27" s="33" t="s">
        <v>285</v>
      </c>
      <c r="D27" s="33">
        <v>12</v>
      </c>
      <c r="E27" s="33" t="s">
        <v>311</v>
      </c>
      <c r="F27" s="97" t="s">
        <v>157</v>
      </c>
      <c r="G27" s="98">
        <f t="shared" ref="G27:G28" si="32">H27+I27+J27</f>
        <v>537</v>
      </c>
      <c r="H27" s="99">
        <v>468</v>
      </c>
      <c r="I27" s="99">
        <v>46</v>
      </c>
      <c r="J27" s="99">
        <v>23</v>
      </c>
      <c r="K27" s="89">
        <f t="shared" si="6"/>
        <v>537</v>
      </c>
      <c r="L27" s="175">
        <f>AH27+AL27</f>
        <v>468</v>
      </c>
      <c r="M27" s="175">
        <f t="shared" ref="M27:N27" si="33">AI27+AM27</f>
        <v>46</v>
      </c>
      <c r="N27" s="175">
        <f t="shared" si="33"/>
        <v>23</v>
      </c>
      <c r="O27" s="89">
        <f t="shared" si="25"/>
        <v>537</v>
      </c>
      <c r="P27" s="92">
        <f t="shared" si="26"/>
        <v>468</v>
      </c>
      <c r="Q27" s="92">
        <f t="shared" si="27"/>
        <v>46</v>
      </c>
      <c r="R27" s="92">
        <f t="shared" si="28"/>
        <v>23</v>
      </c>
      <c r="S27" s="89">
        <f t="shared" si="11"/>
        <v>0</v>
      </c>
      <c r="T27" s="92">
        <f t="shared" si="29"/>
        <v>0</v>
      </c>
      <c r="U27" s="92">
        <f t="shared" si="30"/>
        <v>0</v>
      </c>
      <c r="V27" s="92">
        <f t="shared" si="31"/>
        <v>0</v>
      </c>
      <c r="W27" s="93"/>
      <c r="X27" s="90"/>
      <c r="Y27" s="56"/>
      <c r="Z27" s="56"/>
      <c r="AA27" s="56"/>
      <c r="AB27" s="56"/>
      <c r="AC27" s="56"/>
      <c r="AD27" s="56"/>
      <c r="AE27" s="56"/>
      <c r="AF27" s="56"/>
      <c r="AG27" s="50">
        <f>AH27+AI27+AJ27</f>
        <v>187</v>
      </c>
      <c r="AH27" s="50">
        <v>156</v>
      </c>
      <c r="AI27" s="50">
        <v>14</v>
      </c>
      <c r="AJ27" s="50">
        <v>17</v>
      </c>
      <c r="AK27" s="171">
        <f>AL27+AM27+AN27</f>
        <v>350</v>
      </c>
      <c r="AL27" s="171">
        <v>312</v>
      </c>
      <c r="AM27" s="171">
        <v>32</v>
      </c>
      <c r="AN27" s="171">
        <v>6</v>
      </c>
      <c r="AO27" s="171"/>
      <c r="AP27" s="171">
        <v>156</v>
      </c>
      <c r="AQ27" s="171">
        <v>14</v>
      </c>
      <c r="AR27" s="171">
        <v>17</v>
      </c>
      <c r="AS27" s="171"/>
      <c r="AT27" s="50" t="s">
        <v>424</v>
      </c>
    </row>
    <row r="28" spans="1:46" s="50" customFormat="1" ht="25.5">
      <c r="A28" s="94" t="s">
        <v>184</v>
      </c>
      <c r="B28" s="32" t="s">
        <v>55</v>
      </c>
      <c r="C28" s="33" t="s">
        <v>59</v>
      </c>
      <c r="D28" s="33">
        <v>14</v>
      </c>
      <c r="E28" s="33" t="s">
        <v>55</v>
      </c>
      <c r="F28" s="97" t="s">
        <v>157</v>
      </c>
      <c r="G28" s="98">
        <f t="shared" si="32"/>
        <v>627</v>
      </c>
      <c r="H28" s="99">
        <v>546</v>
      </c>
      <c r="I28" s="99">
        <v>54</v>
      </c>
      <c r="J28" s="99">
        <v>27</v>
      </c>
      <c r="K28" s="89">
        <f t="shared" si="6"/>
        <v>0</v>
      </c>
      <c r="L28" s="175">
        <f t="shared" ref="L28:L41" si="34">AH28+AL28</f>
        <v>0</v>
      </c>
      <c r="M28" s="175">
        <f t="shared" ref="M28:M41" si="35">AI28+AM28</f>
        <v>0</v>
      </c>
      <c r="N28" s="175">
        <f t="shared" ref="N28:N41" si="36">AJ28+AN28</f>
        <v>0</v>
      </c>
      <c r="O28" s="89">
        <f t="shared" si="25"/>
        <v>0</v>
      </c>
      <c r="P28" s="92">
        <f t="shared" si="26"/>
        <v>0</v>
      </c>
      <c r="Q28" s="92">
        <f t="shared" si="27"/>
        <v>0</v>
      </c>
      <c r="R28" s="92">
        <f t="shared" si="28"/>
        <v>0</v>
      </c>
      <c r="S28" s="89">
        <f t="shared" si="11"/>
        <v>-627</v>
      </c>
      <c r="T28" s="92">
        <f t="shared" si="29"/>
        <v>-546</v>
      </c>
      <c r="U28" s="92">
        <f t="shared" si="30"/>
        <v>-54</v>
      </c>
      <c r="V28" s="92">
        <f t="shared" si="31"/>
        <v>-27</v>
      </c>
      <c r="W28" s="93"/>
      <c r="X28" s="90"/>
      <c r="Y28" s="56"/>
      <c r="Z28" s="56"/>
      <c r="AA28" s="56"/>
      <c r="AB28" s="56"/>
      <c r="AC28" s="56"/>
      <c r="AD28" s="56"/>
      <c r="AE28" s="56"/>
      <c r="AF28" s="56"/>
      <c r="AK28" s="171"/>
      <c r="AL28" s="171"/>
      <c r="AM28" s="171"/>
      <c r="AN28" s="171"/>
      <c r="AO28" s="171"/>
      <c r="AP28" s="171"/>
      <c r="AQ28" s="171"/>
      <c r="AR28" s="171"/>
      <c r="AS28" s="171"/>
    </row>
    <row r="29" spans="1:46" s="50" customFormat="1" ht="25.5">
      <c r="A29" s="94" t="s">
        <v>185</v>
      </c>
      <c r="B29" s="32" t="s">
        <v>92</v>
      </c>
      <c r="C29" s="33" t="s">
        <v>313</v>
      </c>
      <c r="D29" s="33">
        <v>50</v>
      </c>
      <c r="E29" s="33" t="s">
        <v>92</v>
      </c>
      <c r="F29" s="97" t="s">
        <v>157</v>
      </c>
      <c r="G29" s="98">
        <f>H29+I29+J29</f>
        <v>2242</v>
      </c>
      <c r="H29" s="99">
        <v>1950</v>
      </c>
      <c r="I29" s="99">
        <v>195</v>
      </c>
      <c r="J29" s="99">
        <v>97</v>
      </c>
      <c r="K29" s="89">
        <f t="shared" si="6"/>
        <v>2224</v>
      </c>
      <c r="L29" s="175">
        <f t="shared" si="34"/>
        <v>1932</v>
      </c>
      <c r="M29" s="175">
        <f t="shared" si="35"/>
        <v>195</v>
      </c>
      <c r="N29" s="175">
        <f t="shared" si="36"/>
        <v>97</v>
      </c>
      <c r="O29" s="89">
        <f t="shared" si="25"/>
        <v>2242</v>
      </c>
      <c r="P29" s="199">
        <v>1942</v>
      </c>
      <c r="Q29" s="92">
        <f t="shared" si="27"/>
        <v>195</v>
      </c>
      <c r="R29" s="92">
        <f t="shared" si="28"/>
        <v>105</v>
      </c>
      <c r="S29" s="89">
        <f t="shared" si="11"/>
        <v>0</v>
      </c>
      <c r="T29" s="92">
        <f t="shared" si="29"/>
        <v>-8</v>
      </c>
      <c r="U29" s="92">
        <f t="shared" si="30"/>
        <v>0</v>
      </c>
      <c r="V29" s="92">
        <f t="shared" si="31"/>
        <v>8</v>
      </c>
      <c r="W29" s="93"/>
      <c r="X29" s="90"/>
      <c r="Y29" s="56"/>
      <c r="Z29" s="56"/>
      <c r="AA29" s="56"/>
      <c r="AB29" s="56"/>
      <c r="AC29" s="56"/>
      <c r="AD29" s="56"/>
      <c r="AE29" s="56"/>
      <c r="AF29" s="56"/>
      <c r="AH29" s="50">
        <v>1638</v>
      </c>
      <c r="AI29" s="50">
        <v>163</v>
      </c>
      <c r="AJ29" s="50">
        <v>89</v>
      </c>
      <c r="AK29" s="171"/>
      <c r="AL29" s="171">
        <v>294</v>
      </c>
      <c r="AM29" s="171">
        <v>32</v>
      </c>
      <c r="AN29" s="171">
        <v>8</v>
      </c>
      <c r="AO29" s="171"/>
      <c r="AP29" s="171">
        <v>1638</v>
      </c>
      <c r="AQ29" s="171">
        <v>163</v>
      </c>
      <c r="AR29" s="171">
        <v>97</v>
      </c>
      <c r="AS29" s="171"/>
    </row>
    <row r="30" spans="1:46" s="50" customFormat="1" ht="25.5">
      <c r="A30" s="94" t="s">
        <v>280</v>
      </c>
      <c r="B30" s="32" t="s">
        <v>44</v>
      </c>
      <c r="C30" s="33" t="s">
        <v>303</v>
      </c>
      <c r="D30" s="33">
        <v>20</v>
      </c>
      <c r="E30" s="33" t="s">
        <v>44</v>
      </c>
      <c r="F30" s="97" t="s">
        <v>157</v>
      </c>
      <c r="G30" s="98">
        <f t="shared" ref="G30:G31" si="37">H30+I30+J30</f>
        <v>897</v>
      </c>
      <c r="H30" s="99">
        <v>780</v>
      </c>
      <c r="I30" s="99">
        <v>78</v>
      </c>
      <c r="J30" s="99">
        <v>39</v>
      </c>
      <c r="K30" s="89">
        <f t="shared" si="6"/>
        <v>0</v>
      </c>
      <c r="L30" s="175">
        <f t="shared" si="34"/>
        <v>0</v>
      </c>
      <c r="M30" s="175">
        <f t="shared" si="35"/>
        <v>0</v>
      </c>
      <c r="N30" s="175">
        <f t="shared" si="36"/>
        <v>0</v>
      </c>
      <c r="O30" s="89">
        <f t="shared" si="25"/>
        <v>0</v>
      </c>
      <c r="P30" s="92">
        <f t="shared" si="26"/>
        <v>0</v>
      </c>
      <c r="Q30" s="92">
        <f t="shared" si="27"/>
        <v>0</v>
      </c>
      <c r="R30" s="92">
        <f t="shared" si="28"/>
        <v>0</v>
      </c>
      <c r="S30" s="89">
        <f t="shared" si="11"/>
        <v>-897</v>
      </c>
      <c r="T30" s="92">
        <f t="shared" si="29"/>
        <v>-780</v>
      </c>
      <c r="U30" s="92">
        <f t="shared" si="30"/>
        <v>-78</v>
      </c>
      <c r="V30" s="92">
        <f t="shared" si="31"/>
        <v>-39</v>
      </c>
      <c r="W30" s="93"/>
      <c r="X30" s="90"/>
      <c r="Y30" s="56"/>
      <c r="Z30" s="56"/>
      <c r="AA30" s="56"/>
      <c r="AB30" s="56"/>
      <c r="AC30" s="56"/>
      <c r="AD30" s="56"/>
      <c r="AE30" s="56"/>
      <c r="AF30" s="56"/>
      <c r="AK30" s="171"/>
      <c r="AL30" s="171"/>
      <c r="AM30" s="171"/>
      <c r="AN30" s="171"/>
      <c r="AO30" s="171"/>
      <c r="AP30" s="171"/>
      <c r="AQ30" s="171"/>
      <c r="AR30" s="171"/>
      <c r="AS30" s="171"/>
    </row>
    <row r="31" spans="1:46" s="50" customFormat="1" ht="25.5">
      <c r="A31" s="94" t="s">
        <v>325</v>
      </c>
      <c r="B31" s="32" t="s">
        <v>102</v>
      </c>
      <c r="C31" s="33" t="s">
        <v>177</v>
      </c>
      <c r="D31" s="33">
        <v>42</v>
      </c>
      <c r="E31" s="33" t="s">
        <v>102</v>
      </c>
      <c r="F31" s="97" t="s">
        <v>157</v>
      </c>
      <c r="G31" s="98">
        <f t="shared" si="37"/>
        <v>1882</v>
      </c>
      <c r="H31" s="99">
        <v>1638</v>
      </c>
      <c r="I31" s="99">
        <v>163</v>
      </c>
      <c r="J31" s="99">
        <v>81</v>
      </c>
      <c r="K31" s="89">
        <f t="shared" si="6"/>
        <v>405</v>
      </c>
      <c r="L31" s="175">
        <f t="shared" si="34"/>
        <v>351</v>
      </c>
      <c r="M31" s="175">
        <f t="shared" si="35"/>
        <v>36</v>
      </c>
      <c r="N31" s="175">
        <f t="shared" si="36"/>
        <v>18</v>
      </c>
      <c r="O31" s="89">
        <f t="shared" si="25"/>
        <v>191.874</v>
      </c>
      <c r="P31" s="92">
        <f t="shared" si="26"/>
        <v>139.874</v>
      </c>
      <c r="Q31" s="92">
        <f t="shared" si="27"/>
        <v>42</v>
      </c>
      <c r="R31" s="92">
        <f t="shared" si="28"/>
        <v>10</v>
      </c>
      <c r="S31" s="89">
        <f t="shared" si="11"/>
        <v>-1690.126</v>
      </c>
      <c r="T31" s="92">
        <f t="shared" si="29"/>
        <v>-1498.126</v>
      </c>
      <c r="U31" s="92">
        <f t="shared" si="30"/>
        <v>-121</v>
      </c>
      <c r="V31" s="92">
        <f t="shared" si="31"/>
        <v>-71</v>
      </c>
      <c r="W31" s="93"/>
      <c r="X31" s="90"/>
      <c r="Y31" s="56"/>
      <c r="Z31" s="56"/>
      <c r="AA31" s="56"/>
      <c r="AB31" s="56"/>
      <c r="AC31" s="56"/>
      <c r="AD31" s="56"/>
      <c r="AE31" s="56"/>
      <c r="AF31" s="56"/>
      <c r="AH31" s="50">
        <v>351</v>
      </c>
      <c r="AI31" s="50">
        <v>36</v>
      </c>
      <c r="AJ31" s="50">
        <v>18</v>
      </c>
      <c r="AK31" s="171"/>
      <c r="AL31" s="171"/>
      <c r="AM31" s="171"/>
      <c r="AN31" s="171"/>
      <c r="AO31" s="171"/>
      <c r="AP31" s="171">
        <v>139.874</v>
      </c>
      <c r="AQ31" s="171">
        <v>42</v>
      </c>
      <c r="AR31" s="171">
        <v>10</v>
      </c>
      <c r="AS31" s="171"/>
    </row>
    <row r="32" spans="1:46" s="50" customFormat="1" ht="25.5">
      <c r="A32" s="94" t="s">
        <v>326</v>
      </c>
      <c r="B32" s="32" t="s">
        <v>109</v>
      </c>
      <c r="C32" s="33" t="s">
        <v>110</v>
      </c>
      <c r="D32" s="33">
        <v>7</v>
      </c>
      <c r="E32" s="33" t="s">
        <v>109</v>
      </c>
      <c r="F32" s="97" t="s">
        <v>157</v>
      </c>
      <c r="G32" s="98">
        <f>H32+I32+J32</f>
        <v>313</v>
      </c>
      <c r="H32" s="99">
        <v>273</v>
      </c>
      <c r="I32" s="99">
        <v>27</v>
      </c>
      <c r="J32" s="99">
        <v>13</v>
      </c>
      <c r="K32" s="89">
        <f t="shared" si="6"/>
        <v>0</v>
      </c>
      <c r="L32" s="175">
        <f t="shared" si="34"/>
        <v>0</v>
      </c>
      <c r="M32" s="175">
        <f t="shared" si="35"/>
        <v>0</v>
      </c>
      <c r="N32" s="175">
        <f t="shared" si="36"/>
        <v>0</v>
      </c>
      <c r="O32" s="89">
        <f t="shared" si="25"/>
        <v>0</v>
      </c>
      <c r="P32" s="92">
        <f t="shared" si="26"/>
        <v>0</v>
      </c>
      <c r="Q32" s="92">
        <f t="shared" si="27"/>
        <v>0</v>
      </c>
      <c r="R32" s="92">
        <f t="shared" si="28"/>
        <v>0</v>
      </c>
      <c r="S32" s="89">
        <f t="shared" si="11"/>
        <v>-313</v>
      </c>
      <c r="T32" s="92">
        <f t="shared" si="29"/>
        <v>-273</v>
      </c>
      <c r="U32" s="92">
        <f t="shared" si="30"/>
        <v>-27</v>
      </c>
      <c r="V32" s="92">
        <f t="shared" si="31"/>
        <v>-13</v>
      </c>
      <c r="W32" s="93"/>
      <c r="X32" s="90"/>
      <c r="Y32" s="56"/>
      <c r="Z32" s="56"/>
      <c r="AA32" s="56"/>
      <c r="AB32" s="56"/>
      <c r="AC32" s="56"/>
      <c r="AD32" s="56"/>
      <c r="AE32" s="56"/>
      <c r="AF32" s="56"/>
      <c r="AK32" s="171"/>
      <c r="AL32" s="171"/>
      <c r="AM32" s="171"/>
      <c r="AN32" s="171"/>
      <c r="AO32" s="171"/>
      <c r="AP32" s="171"/>
      <c r="AQ32" s="171"/>
      <c r="AR32" s="171"/>
      <c r="AS32" s="171"/>
    </row>
    <row r="33" spans="1:45" s="50" customFormat="1" ht="25.5">
      <c r="A33" s="94" t="s">
        <v>327</v>
      </c>
      <c r="B33" s="32" t="s">
        <v>112</v>
      </c>
      <c r="C33" s="33" t="s">
        <v>117</v>
      </c>
      <c r="D33" s="33">
        <v>20</v>
      </c>
      <c r="E33" s="33" t="s">
        <v>112</v>
      </c>
      <c r="F33" s="97" t="s">
        <v>157</v>
      </c>
      <c r="G33" s="98">
        <f t="shared" ref="G33:G34" si="38">H33+I33+J33</f>
        <v>897</v>
      </c>
      <c r="H33" s="99">
        <v>780</v>
      </c>
      <c r="I33" s="99">
        <v>78</v>
      </c>
      <c r="J33" s="99">
        <v>39</v>
      </c>
      <c r="K33" s="89">
        <f t="shared" si="6"/>
        <v>450</v>
      </c>
      <c r="L33" s="175">
        <f t="shared" si="34"/>
        <v>390</v>
      </c>
      <c r="M33" s="175">
        <f t="shared" si="35"/>
        <v>40</v>
      </c>
      <c r="N33" s="175">
        <f t="shared" si="36"/>
        <v>20</v>
      </c>
      <c r="O33" s="89">
        <f t="shared" si="25"/>
        <v>360</v>
      </c>
      <c r="P33" s="92">
        <f t="shared" si="26"/>
        <v>312</v>
      </c>
      <c r="Q33" s="92">
        <f t="shared" si="27"/>
        <v>30</v>
      </c>
      <c r="R33" s="92">
        <f t="shared" si="28"/>
        <v>18</v>
      </c>
      <c r="S33" s="89">
        <f t="shared" si="11"/>
        <v>-537</v>
      </c>
      <c r="T33" s="92">
        <f t="shared" si="29"/>
        <v>-468</v>
      </c>
      <c r="U33" s="92">
        <f t="shared" si="30"/>
        <v>-48</v>
      </c>
      <c r="V33" s="92">
        <f t="shared" si="31"/>
        <v>-21</v>
      </c>
      <c r="W33" s="93"/>
      <c r="X33" s="90"/>
      <c r="Y33" s="56"/>
      <c r="Z33" s="56"/>
      <c r="AA33" s="56"/>
      <c r="AB33" s="56"/>
      <c r="AC33" s="56"/>
      <c r="AD33" s="56"/>
      <c r="AE33" s="56"/>
      <c r="AF33" s="56"/>
      <c r="AH33" s="50">
        <v>273</v>
      </c>
      <c r="AI33" s="50">
        <v>28</v>
      </c>
      <c r="AJ33" s="50">
        <v>14</v>
      </c>
      <c r="AK33" s="171"/>
      <c r="AL33" s="171">
        <v>117</v>
      </c>
      <c r="AM33" s="171">
        <v>12</v>
      </c>
      <c r="AN33" s="171">
        <v>6</v>
      </c>
      <c r="AO33" s="171"/>
      <c r="AP33" s="171">
        <v>195</v>
      </c>
      <c r="AQ33" s="171">
        <v>18</v>
      </c>
      <c r="AR33" s="171">
        <v>12</v>
      </c>
      <c r="AS33" s="171"/>
    </row>
    <row r="34" spans="1:45" s="50" customFormat="1" ht="33">
      <c r="A34" s="94" t="s">
        <v>328</v>
      </c>
      <c r="B34" s="32" t="s">
        <v>120</v>
      </c>
      <c r="C34" s="33" t="s">
        <v>124</v>
      </c>
      <c r="D34" s="33">
        <v>54</v>
      </c>
      <c r="E34" s="33" t="s">
        <v>120</v>
      </c>
      <c r="F34" s="97" t="s">
        <v>157</v>
      </c>
      <c r="G34" s="98">
        <f t="shared" si="38"/>
        <v>2353</v>
      </c>
      <c r="H34" s="99">
        <v>2017</v>
      </c>
      <c r="I34" s="99">
        <v>215</v>
      </c>
      <c r="J34" s="99">
        <v>121</v>
      </c>
      <c r="K34" s="89">
        <f t="shared" si="6"/>
        <v>1350</v>
      </c>
      <c r="L34" s="175">
        <f t="shared" si="34"/>
        <v>1170</v>
      </c>
      <c r="M34" s="175">
        <f t="shared" si="35"/>
        <v>120</v>
      </c>
      <c r="N34" s="175">
        <f t="shared" si="36"/>
        <v>60</v>
      </c>
      <c r="O34" s="89">
        <f>P34+Q34+R34</f>
        <v>1350</v>
      </c>
      <c r="P34" s="92">
        <f t="shared" si="26"/>
        <v>1170</v>
      </c>
      <c r="Q34" s="92">
        <f t="shared" si="27"/>
        <v>120</v>
      </c>
      <c r="R34" s="92">
        <f t="shared" si="28"/>
        <v>60</v>
      </c>
      <c r="S34" s="89">
        <f t="shared" si="11"/>
        <v>-1003</v>
      </c>
      <c r="T34" s="92">
        <f t="shared" si="29"/>
        <v>-847</v>
      </c>
      <c r="U34" s="92">
        <f t="shared" si="30"/>
        <v>-95</v>
      </c>
      <c r="V34" s="92">
        <f t="shared" si="31"/>
        <v>-61</v>
      </c>
      <c r="W34" s="93"/>
      <c r="X34" s="90"/>
      <c r="Y34" s="56"/>
      <c r="Z34" s="56"/>
      <c r="AA34" s="56"/>
      <c r="AB34" s="56"/>
      <c r="AC34" s="56"/>
      <c r="AD34" s="56"/>
      <c r="AE34" s="56"/>
      <c r="AF34" s="56"/>
      <c r="AH34" s="50">
        <v>1170</v>
      </c>
      <c r="AI34" s="50">
        <v>120</v>
      </c>
      <c r="AJ34" s="50">
        <v>60</v>
      </c>
      <c r="AK34" s="171"/>
      <c r="AL34" s="171"/>
      <c r="AM34" s="171"/>
      <c r="AN34" s="171"/>
      <c r="AO34" s="171"/>
      <c r="AP34" s="171">
        <v>1170</v>
      </c>
      <c r="AQ34" s="171">
        <v>120</v>
      </c>
      <c r="AR34" s="171">
        <v>60</v>
      </c>
      <c r="AS34" s="171"/>
    </row>
    <row r="35" spans="1:45" s="50" customFormat="1" ht="33">
      <c r="A35" s="94" t="s">
        <v>329</v>
      </c>
      <c r="B35" s="32" t="s">
        <v>130</v>
      </c>
      <c r="C35" s="33" t="s">
        <v>133</v>
      </c>
      <c r="D35" s="33">
        <v>29</v>
      </c>
      <c r="E35" s="33" t="s">
        <v>130</v>
      </c>
      <c r="F35" s="97" t="s">
        <v>157</v>
      </c>
      <c r="G35" s="98">
        <f>H35+I35+J35</f>
        <v>1300</v>
      </c>
      <c r="H35" s="99">
        <v>1131</v>
      </c>
      <c r="I35" s="99">
        <v>113</v>
      </c>
      <c r="J35" s="99">
        <v>56</v>
      </c>
      <c r="K35" s="89">
        <f t="shared" si="6"/>
        <v>1300</v>
      </c>
      <c r="L35" s="175">
        <f t="shared" si="34"/>
        <v>1131</v>
      </c>
      <c r="M35" s="175">
        <f t="shared" si="35"/>
        <v>113</v>
      </c>
      <c r="N35" s="175">
        <f t="shared" si="36"/>
        <v>56</v>
      </c>
      <c r="O35" s="89">
        <f t="shared" ref="O35:O40" si="39">P35+Q35+R35</f>
        <v>1297</v>
      </c>
      <c r="P35" s="92">
        <f t="shared" si="26"/>
        <v>1131</v>
      </c>
      <c r="Q35" s="92">
        <f t="shared" si="27"/>
        <v>113</v>
      </c>
      <c r="R35" s="92">
        <f t="shared" si="28"/>
        <v>53</v>
      </c>
      <c r="S35" s="89">
        <f t="shared" si="11"/>
        <v>-3</v>
      </c>
      <c r="T35" s="92">
        <f t="shared" si="29"/>
        <v>0</v>
      </c>
      <c r="U35" s="92">
        <f t="shared" si="30"/>
        <v>0</v>
      </c>
      <c r="V35" s="92">
        <f t="shared" si="31"/>
        <v>-3</v>
      </c>
      <c r="W35" s="93"/>
      <c r="X35" s="90"/>
      <c r="Y35" s="56"/>
      <c r="Z35" s="56"/>
      <c r="AA35" s="56"/>
      <c r="AB35" s="56"/>
      <c r="AC35" s="56"/>
      <c r="AD35" s="56"/>
      <c r="AE35" s="56"/>
      <c r="AF35" s="56"/>
      <c r="AH35" s="50">
        <v>1131</v>
      </c>
      <c r="AI35" s="50">
        <v>113</v>
      </c>
      <c r="AJ35" s="50">
        <v>56</v>
      </c>
      <c r="AK35" s="171"/>
      <c r="AL35" s="171"/>
      <c r="AM35" s="171"/>
      <c r="AN35" s="171"/>
      <c r="AO35" s="171"/>
      <c r="AP35" s="171">
        <v>1131</v>
      </c>
      <c r="AQ35" s="171">
        <v>113</v>
      </c>
      <c r="AR35" s="171">
        <v>53</v>
      </c>
      <c r="AS35" s="171"/>
    </row>
    <row r="36" spans="1:45" s="50" customFormat="1" ht="33">
      <c r="A36" s="94" t="s">
        <v>330</v>
      </c>
      <c r="B36" s="32" t="s">
        <v>61</v>
      </c>
      <c r="C36" s="33" t="s">
        <v>65</v>
      </c>
      <c r="D36" s="33">
        <v>7</v>
      </c>
      <c r="E36" s="33" t="s">
        <v>61</v>
      </c>
      <c r="F36" s="97" t="s">
        <v>157</v>
      </c>
      <c r="G36" s="98">
        <f t="shared" ref="G36:G37" si="40">H36+I36+J36</f>
        <v>313</v>
      </c>
      <c r="H36" s="99">
        <v>273</v>
      </c>
      <c r="I36" s="99">
        <v>27</v>
      </c>
      <c r="J36" s="99">
        <v>13</v>
      </c>
      <c r="K36" s="89">
        <f t="shared" si="6"/>
        <v>315</v>
      </c>
      <c r="L36" s="175">
        <f t="shared" si="34"/>
        <v>273</v>
      </c>
      <c r="M36" s="175">
        <f t="shared" si="35"/>
        <v>28</v>
      </c>
      <c r="N36" s="175">
        <f t="shared" si="36"/>
        <v>14</v>
      </c>
      <c r="O36" s="89">
        <f t="shared" si="39"/>
        <v>192</v>
      </c>
      <c r="P36" s="92">
        <f t="shared" si="26"/>
        <v>156</v>
      </c>
      <c r="Q36" s="92">
        <f t="shared" si="27"/>
        <v>28</v>
      </c>
      <c r="R36" s="92">
        <f t="shared" si="28"/>
        <v>8</v>
      </c>
      <c r="S36" s="89">
        <f t="shared" si="11"/>
        <v>-121</v>
      </c>
      <c r="T36" s="92">
        <f t="shared" si="29"/>
        <v>-117</v>
      </c>
      <c r="U36" s="92">
        <f t="shared" si="30"/>
        <v>1</v>
      </c>
      <c r="V36" s="92">
        <f t="shared" si="31"/>
        <v>-5</v>
      </c>
      <c r="W36" s="93"/>
      <c r="X36" s="90"/>
      <c r="Y36" s="56"/>
      <c r="Z36" s="56"/>
      <c r="AA36" s="56"/>
      <c r="AB36" s="56"/>
      <c r="AC36" s="56"/>
      <c r="AD36" s="56"/>
      <c r="AE36" s="56"/>
      <c r="AF36" s="56"/>
      <c r="AH36" s="50">
        <v>273</v>
      </c>
      <c r="AI36" s="50">
        <v>28</v>
      </c>
      <c r="AJ36" s="50">
        <v>14</v>
      </c>
      <c r="AK36" s="171"/>
      <c r="AL36" s="171"/>
      <c r="AM36" s="171"/>
      <c r="AN36" s="171"/>
      <c r="AO36" s="171"/>
      <c r="AP36" s="171">
        <v>156</v>
      </c>
      <c r="AQ36" s="171">
        <v>28</v>
      </c>
      <c r="AR36" s="171">
        <v>8</v>
      </c>
      <c r="AS36" s="171"/>
    </row>
    <row r="37" spans="1:45" s="50" customFormat="1" ht="33">
      <c r="A37" s="94" t="s">
        <v>331</v>
      </c>
      <c r="B37" s="32" t="s">
        <v>136</v>
      </c>
      <c r="C37" s="33" t="s">
        <v>139</v>
      </c>
      <c r="D37" s="33">
        <v>27</v>
      </c>
      <c r="E37" s="33" t="s">
        <v>136</v>
      </c>
      <c r="F37" s="97" t="s">
        <v>157</v>
      </c>
      <c r="G37" s="98">
        <f t="shared" si="40"/>
        <v>1210</v>
      </c>
      <c r="H37" s="99">
        <v>1053</v>
      </c>
      <c r="I37" s="99">
        <v>105</v>
      </c>
      <c r="J37" s="99">
        <v>52</v>
      </c>
      <c r="K37" s="89">
        <f t="shared" si="6"/>
        <v>576</v>
      </c>
      <c r="L37" s="175">
        <f t="shared" si="34"/>
        <v>505</v>
      </c>
      <c r="M37" s="175">
        <f t="shared" si="35"/>
        <v>43</v>
      </c>
      <c r="N37" s="175">
        <f t="shared" si="36"/>
        <v>28</v>
      </c>
      <c r="O37" s="89">
        <f t="shared" si="39"/>
        <v>576</v>
      </c>
      <c r="P37" s="92">
        <f t="shared" si="26"/>
        <v>505</v>
      </c>
      <c r="Q37" s="92">
        <f t="shared" si="27"/>
        <v>43</v>
      </c>
      <c r="R37" s="92">
        <f t="shared" si="28"/>
        <v>28</v>
      </c>
      <c r="S37" s="89">
        <f t="shared" si="11"/>
        <v>-634</v>
      </c>
      <c r="T37" s="92">
        <f t="shared" si="29"/>
        <v>-548</v>
      </c>
      <c r="U37" s="92">
        <f t="shared" si="30"/>
        <v>-62</v>
      </c>
      <c r="V37" s="92">
        <f t="shared" si="31"/>
        <v>-24</v>
      </c>
      <c r="W37" s="93"/>
      <c r="X37" s="90"/>
      <c r="Y37" s="56"/>
      <c r="Z37" s="56"/>
      <c r="AA37" s="56"/>
      <c r="AB37" s="56"/>
      <c r="AC37" s="56"/>
      <c r="AD37" s="56"/>
      <c r="AE37" s="56"/>
      <c r="AF37" s="56"/>
      <c r="AH37" s="50">
        <v>466</v>
      </c>
      <c r="AI37" s="50">
        <v>39</v>
      </c>
      <c r="AJ37" s="50">
        <v>26</v>
      </c>
      <c r="AK37" s="171"/>
      <c r="AL37" s="171">
        <v>39</v>
      </c>
      <c r="AM37" s="171">
        <v>4</v>
      </c>
      <c r="AN37" s="171">
        <v>2</v>
      </c>
      <c r="AO37" s="171"/>
      <c r="AP37" s="171">
        <v>466</v>
      </c>
      <c r="AQ37" s="171">
        <v>39</v>
      </c>
      <c r="AR37" s="171">
        <v>26</v>
      </c>
      <c r="AS37" s="171"/>
    </row>
    <row r="38" spans="1:45" s="50" customFormat="1" ht="33">
      <c r="A38" s="94" t="s">
        <v>332</v>
      </c>
      <c r="B38" s="32" t="s">
        <v>142</v>
      </c>
      <c r="C38" s="33" t="s">
        <v>314</v>
      </c>
      <c r="D38" s="33">
        <v>69</v>
      </c>
      <c r="E38" s="33" t="s">
        <v>142</v>
      </c>
      <c r="F38" s="97" t="s">
        <v>157</v>
      </c>
      <c r="G38" s="98">
        <f>H38+I38+J38</f>
        <v>3094</v>
      </c>
      <c r="H38" s="99">
        <v>2691</v>
      </c>
      <c r="I38" s="99">
        <v>269</v>
      </c>
      <c r="J38" s="99">
        <v>134</v>
      </c>
      <c r="K38" s="89">
        <f t="shared" si="6"/>
        <v>0</v>
      </c>
      <c r="L38" s="175">
        <f t="shared" si="34"/>
        <v>0</v>
      </c>
      <c r="M38" s="175">
        <f t="shared" si="35"/>
        <v>0</v>
      </c>
      <c r="N38" s="175">
        <f t="shared" si="36"/>
        <v>0</v>
      </c>
      <c r="O38" s="89">
        <f t="shared" si="39"/>
        <v>0</v>
      </c>
      <c r="P38" s="92">
        <f t="shared" si="26"/>
        <v>0</v>
      </c>
      <c r="Q38" s="92">
        <f t="shared" si="27"/>
        <v>0</v>
      </c>
      <c r="R38" s="92">
        <f t="shared" si="28"/>
        <v>0</v>
      </c>
      <c r="S38" s="89">
        <f t="shared" si="11"/>
        <v>-3094</v>
      </c>
      <c r="T38" s="92">
        <f t="shared" si="29"/>
        <v>-2691</v>
      </c>
      <c r="U38" s="92">
        <f t="shared" si="30"/>
        <v>-269</v>
      </c>
      <c r="V38" s="92">
        <f t="shared" si="31"/>
        <v>-134</v>
      </c>
      <c r="W38" s="93"/>
      <c r="X38" s="90"/>
      <c r="Y38" s="56"/>
      <c r="Z38" s="56"/>
      <c r="AA38" s="56"/>
      <c r="AB38" s="56"/>
      <c r="AC38" s="56"/>
      <c r="AD38" s="56"/>
      <c r="AE38" s="56"/>
      <c r="AF38" s="56"/>
      <c r="AK38" s="171"/>
      <c r="AL38" s="171"/>
      <c r="AM38" s="171"/>
      <c r="AN38" s="171"/>
      <c r="AO38" s="171"/>
      <c r="AP38" s="171"/>
      <c r="AQ38" s="171"/>
      <c r="AR38" s="171"/>
      <c r="AS38" s="171"/>
    </row>
    <row r="39" spans="1:45" s="50" customFormat="1" ht="33">
      <c r="A39" s="94" t="s">
        <v>333</v>
      </c>
      <c r="B39" s="32" t="s">
        <v>145</v>
      </c>
      <c r="C39" s="33" t="s">
        <v>309</v>
      </c>
      <c r="D39" s="33">
        <v>35</v>
      </c>
      <c r="E39" s="33" t="s">
        <v>145</v>
      </c>
      <c r="F39" s="97" t="s">
        <v>157</v>
      </c>
      <c r="G39" s="98">
        <f t="shared" ref="G39:G40" si="41">H39+I39+J39</f>
        <v>1569</v>
      </c>
      <c r="H39" s="99">
        <v>1365</v>
      </c>
      <c r="I39" s="99">
        <v>136</v>
      </c>
      <c r="J39" s="99">
        <v>68</v>
      </c>
      <c r="K39" s="89">
        <f t="shared" si="6"/>
        <v>45</v>
      </c>
      <c r="L39" s="175">
        <f t="shared" si="34"/>
        <v>39</v>
      </c>
      <c r="M39" s="175">
        <f t="shared" si="35"/>
        <v>4</v>
      </c>
      <c r="N39" s="175">
        <f t="shared" si="36"/>
        <v>2</v>
      </c>
      <c r="O39" s="89">
        <f t="shared" si="39"/>
        <v>45</v>
      </c>
      <c r="P39" s="92">
        <f t="shared" si="26"/>
        <v>39</v>
      </c>
      <c r="Q39" s="92">
        <f t="shared" si="27"/>
        <v>4</v>
      </c>
      <c r="R39" s="92">
        <f t="shared" si="28"/>
        <v>2</v>
      </c>
      <c r="S39" s="89">
        <f t="shared" si="11"/>
        <v>-1524</v>
      </c>
      <c r="T39" s="92">
        <f t="shared" si="29"/>
        <v>-1326</v>
      </c>
      <c r="U39" s="92">
        <f t="shared" si="30"/>
        <v>-132</v>
      </c>
      <c r="V39" s="92">
        <f t="shared" si="31"/>
        <v>-66</v>
      </c>
      <c r="W39" s="93"/>
      <c r="X39" s="90"/>
      <c r="Y39" s="56"/>
      <c r="Z39" s="56"/>
      <c r="AA39" s="56"/>
      <c r="AB39" s="56"/>
      <c r="AC39" s="56"/>
      <c r="AD39" s="56"/>
      <c r="AE39" s="56"/>
      <c r="AF39" s="56"/>
      <c r="AK39" s="171"/>
      <c r="AL39" s="171">
        <v>39</v>
      </c>
      <c r="AM39" s="171">
        <v>4</v>
      </c>
      <c r="AN39" s="171">
        <v>2</v>
      </c>
      <c r="AO39" s="171"/>
      <c r="AP39" s="171"/>
      <c r="AQ39" s="171"/>
      <c r="AR39" s="171"/>
      <c r="AS39" s="171"/>
    </row>
    <row r="40" spans="1:45" s="50" customFormat="1" ht="33">
      <c r="A40" s="94" t="s">
        <v>334</v>
      </c>
      <c r="B40" s="32" t="s">
        <v>15</v>
      </c>
      <c r="C40" s="33" t="s">
        <v>76</v>
      </c>
      <c r="D40" s="33">
        <v>12</v>
      </c>
      <c r="E40" s="33" t="s">
        <v>15</v>
      </c>
      <c r="F40" s="97" t="s">
        <v>157</v>
      </c>
      <c r="G40" s="98">
        <f t="shared" si="41"/>
        <v>537</v>
      </c>
      <c r="H40" s="99">
        <v>468</v>
      </c>
      <c r="I40" s="99">
        <v>46</v>
      </c>
      <c r="J40" s="99">
        <v>23</v>
      </c>
      <c r="K40" s="89">
        <f t="shared" si="6"/>
        <v>537</v>
      </c>
      <c r="L40" s="175">
        <f t="shared" si="34"/>
        <v>468</v>
      </c>
      <c r="M40" s="175">
        <f t="shared" si="35"/>
        <v>46</v>
      </c>
      <c r="N40" s="175">
        <f t="shared" si="36"/>
        <v>23</v>
      </c>
      <c r="O40" s="89">
        <f t="shared" si="39"/>
        <v>546</v>
      </c>
      <c r="P40" s="92">
        <f t="shared" si="26"/>
        <v>468</v>
      </c>
      <c r="Q40" s="92">
        <f t="shared" si="27"/>
        <v>48</v>
      </c>
      <c r="R40" s="92">
        <f t="shared" si="28"/>
        <v>30</v>
      </c>
      <c r="S40" s="89">
        <f t="shared" si="11"/>
        <v>9</v>
      </c>
      <c r="T40" s="92">
        <f t="shared" si="29"/>
        <v>0</v>
      </c>
      <c r="U40" s="92">
        <f t="shared" si="30"/>
        <v>2</v>
      </c>
      <c r="V40" s="92">
        <f t="shared" si="31"/>
        <v>7</v>
      </c>
      <c r="W40" s="93"/>
      <c r="X40" s="90"/>
      <c r="Y40" s="56"/>
      <c r="Z40" s="56"/>
      <c r="AA40" s="56"/>
      <c r="AB40" s="56"/>
      <c r="AC40" s="56"/>
      <c r="AD40" s="56"/>
      <c r="AE40" s="56"/>
      <c r="AF40" s="56"/>
      <c r="AH40" s="50">
        <v>390</v>
      </c>
      <c r="AI40" s="50">
        <v>38</v>
      </c>
      <c r="AJ40" s="50">
        <v>19</v>
      </c>
      <c r="AK40" s="171"/>
      <c r="AL40" s="171">
        <v>78</v>
      </c>
      <c r="AM40" s="171">
        <v>8</v>
      </c>
      <c r="AN40" s="171">
        <v>4</v>
      </c>
      <c r="AO40" s="171"/>
      <c r="AP40" s="171">
        <v>390</v>
      </c>
      <c r="AQ40" s="171">
        <v>40</v>
      </c>
      <c r="AR40" s="171">
        <v>26</v>
      </c>
      <c r="AS40" s="171"/>
    </row>
    <row r="41" spans="1:45" s="50" customFormat="1" ht="33">
      <c r="A41" s="94" t="s">
        <v>335</v>
      </c>
      <c r="B41" s="32" t="s">
        <v>312</v>
      </c>
      <c r="C41" s="33" t="s">
        <v>150</v>
      </c>
      <c r="D41" s="33">
        <v>5</v>
      </c>
      <c r="E41" s="33" t="s">
        <v>312</v>
      </c>
      <c r="F41" s="97" t="s">
        <v>157</v>
      </c>
      <c r="G41" s="98">
        <f>H41+I41+J41</f>
        <v>223</v>
      </c>
      <c r="H41" s="99">
        <v>195</v>
      </c>
      <c r="I41" s="99">
        <v>19</v>
      </c>
      <c r="J41" s="99">
        <v>9</v>
      </c>
      <c r="K41" s="89">
        <f t="shared" si="6"/>
        <v>219</v>
      </c>
      <c r="L41" s="175">
        <f t="shared" si="34"/>
        <v>195</v>
      </c>
      <c r="M41" s="175">
        <f t="shared" si="35"/>
        <v>20</v>
      </c>
      <c r="N41" s="175">
        <f t="shared" si="36"/>
        <v>4</v>
      </c>
      <c r="O41" s="89">
        <f>P41+Q41+R41</f>
        <v>223</v>
      </c>
      <c r="P41" s="92">
        <f t="shared" si="26"/>
        <v>195</v>
      </c>
      <c r="Q41" s="92">
        <f t="shared" si="27"/>
        <v>20</v>
      </c>
      <c r="R41" s="92">
        <f t="shared" si="28"/>
        <v>8</v>
      </c>
      <c r="S41" s="89">
        <f t="shared" si="11"/>
        <v>0</v>
      </c>
      <c r="T41" s="92">
        <f t="shared" si="29"/>
        <v>0</v>
      </c>
      <c r="U41" s="92">
        <v>0</v>
      </c>
      <c r="V41" s="92">
        <v>0</v>
      </c>
      <c r="W41" s="93"/>
      <c r="X41" s="90">
        <v>16</v>
      </c>
      <c r="Y41" s="56">
        <v>2</v>
      </c>
      <c r="Z41" s="56">
        <v>1</v>
      </c>
      <c r="AA41" s="56">
        <f>P42-X41</f>
        <v>-16</v>
      </c>
      <c r="AB41" s="56">
        <f>Q42-Y41</f>
        <v>-2</v>
      </c>
      <c r="AC41" s="56">
        <f>R42-Z41</f>
        <v>-1</v>
      </c>
      <c r="AD41" s="56"/>
      <c r="AE41" s="56"/>
      <c r="AF41" s="56"/>
      <c r="AK41" s="171"/>
      <c r="AL41" s="171">
        <v>195</v>
      </c>
      <c r="AM41" s="171">
        <v>20</v>
      </c>
      <c r="AN41" s="171">
        <v>4</v>
      </c>
      <c r="AO41" s="171"/>
      <c r="AP41" s="171"/>
      <c r="AQ41" s="171"/>
      <c r="AR41" s="171">
        <v>4</v>
      </c>
      <c r="AS41" s="171"/>
    </row>
    <row r="42" spans="1:45" s="50" customFormat="1">
      <c r="A42" s="94">
        <v>3</v>
      </c>
      <c r="B42" s="95" t="s">
        <v>229</v>
      </c>
      <c r="C42" s="96"/>
      <c r="D42" s="96" t="s">
        <v>315</v>
      </c>
      <c r="E42" s="96"/>
      <c r="F42" s="97"/>
      <c r="G42" s="98">
        <f>G43</f>
        <v>25</v>
      </c>
      <c r="H42" s="98">
        <f t="shared" ref="H42:V42" si="42">H43</f>
        <v>22</v>
      </c>
      <c r="I42" s="98">
        <f t="shared" si="42"/>
        <v>2</v>
      </c>
      <c r="J42" s="98">
        <f t="shared" si="42"/>
        <v>1</v>
      </c>
      <c r="K42" s="98">
        <f t="shared" si="42"/>
        <v>0</v>
      </c>
      <c r="L42" s="98">
        <f t="shared" si="42"/>
        <v>0</v>
      </c>
      <c r="M42" s="98">
        <f t="shared" si="42"/>
        <v>0</v>
      </c>
      <c r="N42" s="98">
        <f t="shared" si="42"/>
        <v>0</v>
      </c>
      <c r="O42" s="98">
        <f t="shared" si="42"/>
        <v>0</v>
      </c>
      <c r="P42" s="98">
        <f t="shared" si="42"/>
        <v>0</v>
      </c>
      <c r="Q42" s="98">
        <f t="shared" si="42"/>
        <v>0</v>
      </c>
      <c r="R42" s="98">
        <f t="shared" si="42"/>
        <v>0</v>
      </c>
      <c r="S42" s="98">
        <f t="shared" si="42"/>
        <v>-25</v>
      </c>
      <c r="T42" s="98">
        <f t="shared" si="42"/>
        <v>-22</v>
      </c>
      <c r="U42" s="98">
        <f t="shared" si="42"/>
        <v>-2</v>
      </c>
      <c r="V42" s="98">
        <f t="shared" si="42"/>
        <v>-1</v>
      </c>
      <c r="W42" s="35"/>
      <c r="X42" s="90">
        <f>X41-H42</f>
        <v>-6</v>
      </c>
      <c r="Y42" s="56">
        <f>Y41-I42</f>
        <v>0</v>
      </c>
      <c r="Z42" s="56">
        <f>Z41-J42</f>
        <v>0</v>
      </c>
      <c r="AA42" s="56"/>
      <c r="AB42" s="56"/>
      <c r="AC42" s="56"/>
      <c r="AD42" s="56"/>
      <c r="AE42" s="56"/>
      <c r="AF42" s="56"/>
      <c r="AK42" s="171"/>
      <c r="AL42" s="171"/>
      <c r="AM42" s="171"/>
      <c r="AN42" s="171"/>
      <c r="AO42" s="171"/>
      <c r="AP42" s="171"/>
      <c r="AQ42" s="171"/>
      <c r="AR42" s="171"/>
      <c r="AS42" s="171"/>
    </row>
    <row r="43" spans="1:45" s="50" customFormat="1" ht="25.5">
      <c r="A43" s="94" t="s">
        <v>186</v>
      </c>
      <c r="B43" s="32" t="s">
        <v>38</v>
      </c>
      <c r="C43" s="33" t="s">
        <v>150</v>
      </c>
      <c r="D43" s="33" t="s">
        <v>315</v>
      </c>
      <c r="E43" s="33" t="s">
        <v>312</v>
      </c>
      <c r="F43" s="97" t="s">
        <v>157</v>
      </c>
      <c r="G43" s="98">
        <f t="shared" ref="G43" si="43">H43+I43+J43</f>
        <v>25</v>
      </c>
      <c r="H43" s="99">
        <v>22</v>
      </c>
      <c r="I43" s="99">
        <v>2</v>
      </c>
      <c r="J43" s="99">
        <v>1</v>
      </c>
      <c r="K43" s="89">
        <f t="shared" si="6"/>
        <v>0</v>
      </c>
      <c r="L43" s="99"/>
      <c r="M43" s="99"/>
      <c r="N43" s="99"/>
      <c r="O43" s="89">
        <f t="shared" si="7"/>
        <v>0</v>
      </c>
      <c r="P43" s="92">
        <f t="shared" si="8"/>
        <v>0</v>
      </c>
      <c r="Q43" s="92">
        <f t="shared" si="9"/>
        <v>0</v>
      </c>
      <c r="R43" s="92">
        <f t="shared" si="10"/>
        <v>0</v>
      </c>
      <c r="S43" s="89">
        <f t="shared" si="11"/>
        <v>-25</v>
      </c>
      <c r="T43" s="92">
        <f>-H43</f>
        <v>-22</v>
      </c>
      <c r="U43" s="92">
        <f t="shared" ref="U43:V43" si="44">-I43</f>
        <v>-2</v>
      </c>
      <c r="V43" s="92">
        <f t="shared" si="44"/>
        <v>-1</v>
      </c>
      <c r="W43" s="93"/>
      <c r="X43" s="90"/>
      <c r="Y43" s="56"/>
      <c r="Z43" s="56"/>
      <c r="AA43" s="56"/>
      <c r="AB43" s="56"/>
      <c r="AC43" s="56"/>
      <c r="AD43" s="56"/>
      <c r="AE43" s="56"/>
      <c r="AF43" s="56"/>
      <c r="AK43" s="171"/>
      <c r="AL43" s="171"/>
      <c r="AM43" s="171"/>
      <c r="AN43" s="171"/>
      <c r="AO43" s="171"/>
      <c r="AP43" s="171"/>
      <c r="AQ43" s="171"/>
      <c r="AR43" s="171"/>
      <c r="AS43" s="171"/>
    </row>
    <row r="44" spans="1:45" s="50" customFormat="1">
      <c r="A44" s="100">
        <v>4</v>
      </c>
      <c r="B44" s="101" t="s">
        <v>230</v>
      </c>
      <c r="C44" s="88"/>
      <c r="D44" s="87"/>
      <c r="E44" s="102"/>
      <c r="F44" s="88"/>
      <c r="G44" s="103">
        <f>SUM(G45:G53)</f>
        <v>19898</v>
      </c>
      <c r="H44" s="103">
        <f t="shared" ref="H44:V44" si="45">SUM(H45:H53)</f>
        <v>17302</v>
      </c>
      <c r="I44" s="103">
        <f t="shared" si="45"/>
        <v>1733</v>
      </c>
      <c r="J44" s="103">
        <f t="shared" si="45"/>
        <v>863</v>
      </c>
      <c r="K44" s="103">
        <f t="shared" si="45"/>
        <v>19459</v>
      </c>
      <c r="L44" s="103">
        <f t="shared" si="45"/>
        <v>16968</v>
      </c>
      <c r="M44" s="103">
        <f t="shared" si="45"/>
        <v>1698</v>
      </c>
      <c r="N44" s="103">
        <f t="shared" si="45"/>
        <v>793</v>
      </c>
      <c r="O44" s="103">
        <f t="shared" si="45"/>
        <v>19144.283000000003</v>
      </c>
      <c r="P44" s="103">
        <f t="shared" si="45"/>
        <v>16715.283000000003</v>
      </c>
      <c r="Q44" s="103">
        <f t="shared" si="45"/>
        <v>1636</v>
      </c>
      <c r="R44" s="103">
        <f t="shared" si="45"/>
        <v>793</v>
      </c>
      <c r="S44" s="103">
        <f t="shared" si="45"/>
        <v>-753.71699999999998</v>
      </c>
      <c r="T44" s="103">
        <f t="shared" si="45"/>
        <v>-586.7170000000001</v>
      </c>
      <c r="U44" s="103">
        <f t="shared" si="45"/>
        <v>-97</v>
      </c>
      <c r="V44" s="103">
        <f t="shared" si="45"/>
        <v>-70</v>
      </c>
      <c r="W44" s="35"/>
      <c r="X44" s="90">
        <f>Y44+Z44+AA44</f>
        <v>19898</v>
      </c>
      <c r="Y44" s="105">
        <v>17302</v>
      </c>
      <c r="Z44" s="105">
        <v>1733</v>
      </c>
      <c r="AA44" s="105">
        <v>863</v>
      </c>
      <c r="AB44" s="105">
        <f>SUM(J45:J52)-J44</f>
        <v>-20</v>
      </c>
      <c r="AC44" s="105">
        <f>SUM(O45:O52)-O44</f>
        <v>-432</v>
      </c>
      <c r="AD44" s="105">
        <f>SUM(P45:P52)-P44</f>
        <v>-377.00000000000182</v>
      </c>
      <c r="AE44" s="105">
        <f>SUM(Q45:Q52)-Q44</f>
        <v>-36</v>
      </c>
      <c r="AF44" s="105">
        <f>SUM(R45:R52)-R44</f>
        <v>-19</v>
      </c>
      <c r="AK44" s="171"/>
      <c r="AL44" s="171"/>
      <c r="AM44" s="171"/>
      <c r="AN44" s="171"/>
      <c r="AO44" s="171"/>
      <c r="AP44" s="171"/>
      <c r="AQ44" s="171"/>
      <c r="AR44" s="171"/>
      <c r="AS44" s="171"/>
    </row>
    <row r="45" spans="1:45" s="50" customFormat="1" ht="25.5">
      <c r="A45" s="31" t="s">
        <v>189</v>
      </c>
      <c r="B45" s="32" t="s">
        <v>231</v>
      </c>
      <c r="C45" s="33" t="s">
        <v>250</v>
      </c>
      <c r="D45" s="33" t="s">
        <v>232</v>
      </c>
      <c r="E45" s="33" t="s">
        <v>130</v>
      </c>
      <c r="F45" s="33" t="s">
        <v>45</v>
      </c>
      <c r="G45" s="103">
        <f t="shared" ref="G45:G52" si="46">H45+I45+J45</f>
        <v>563</v>
      </c>
      <c r="H45" s="53">
        <v>490</v>
      </c>
      <c r="I45" s="53">
        <v>49</v>
      </c>
      <c r="J45" s="53">
        <v>24</v>
      </c>
      <c r="K45" s="89">
        <f t="shared" si="6"/>
        <v>564</v>
      </c>
      <c r="L45" s="53">
        <v>490</v>
      </c>
      <c r="M45" s="53">
        <v>51</v>
      </c>
      <c r="N45" s="53">
        <v>23</v>
      </c>
      <c r="O45" s="89">
        <f t="shared" si="7"/>
        <v>543</v>
      </c>
      <c r="P45" s="92">
        <v>472</v>
      </c>
      <c r="Q45" s="92">
        <v>48</v>
      </c>
      <c r="R45" s="92">
        <v>23</v>
      </c>
      <c r="S45" s="89">
        <f t="shared" si="11"/>
        <v>-20</v>
      </c>
      <c r="T45" s="106">
        <f>P45-H45</f>
        <v>-18</v>
      </c>
      <c r="U45" s="106">
        <f t="shared" ref="U45:V46" si="47">Q45-I45</f>
        <v>-1</v>
      </c>
      <c r="V45" s="106">
        <f t="shared" si="47"/>
        <v>-1</v>
      </c>
      <c r="W45" s="107"/>
      <c r="X45" s="108">
        <v>7.96</v>
      </c>
      <c r="Y45" s="108">
        <f>P44-Y44</f>
        <v>-586.71699999999691</v>
      </c>
      <c r="Z45" s="108">
        <f>Q44-Z44</f>
        <v>-97</v>
      </c>
      <c r="AA45" s="108">
        <f>R44-AA44</f>
        <v>-70</v>
      </c>
      <c r="AB45" s="56"/>
      <c r="AC45" s="56"/>
      <c r="AD45" s="56"/>
      <c r="AE45" s="56"/>
      <c r="AF45" s="56"/>
      <c r="AK45" s="171"/>
      <c r="AL45" s="171"/>
      <c r="AM45" s="171"/>
      <c r="AN45" s="171"/>
      <c r="AO45" s="171"/>
      <c r="AP45" s="171"/>
      <c r="AQ45" s="171"/>
      <c r="AR45" s="171"/>
      <c r="AS45" s="171"/>
    </row>
    <row r="46" spans="1:45" s="50" customFormat="1" ht="25.5">
      <c r="A46" s="31" t="s">
        <v>190</v>
      </c>
      <c r="B46" s="32" t="s">
        <v>233</v>
      </c>
      <c r="C46" s="33" t="s">
        <v>250</v>
      </c>
      <c r="D46" s="33" t="s">
        <v>234</v>
      </c>
      <c r="E46" s="33" t="s">
        <v>29</v>
      </c>
      <c r="F46" s="33" t="s">
        <v>45</v>
      </c>
      <c r="G46" s="103">
        <f t="shared" si="46"/>
        <v>2496</v>
      </c>
      <c r="H46" s="53">
        <v>2171</v>
      </c>
      <c r="I46" s="53">
        <v>218</v>
      </c>
      <c r="J46" s="53">
        <v>107</v>
      </c>
      <c r="K46" s="89">
        <f t="shared" si="6"/>
        <v>2372</v>
      </c>
      <c r="L46" s="53">
        <v>2071</v>
      </c>
      <c r="M46" s="53">
        <v>206</v>
      </c>
      <c r="N46" s="53">
        <v>95</v>
      </c>
      <c r="O46" s="89">
        <f t="shared" si="7"/>
        <v>2289</v>
      </c>
      <c r="P46" s="199">
        <v>1993</v>
      </c>
      <c r="Q46" s="92">
        <f>194+7</f>
        <v>201</v>
      </c>
      <c r="R46" s="92">
        <v>95</v>
      </c>
      <c r="S46" s="89">
        <f t="shared" si="11"/>
        <v>-207</v>
      </c>
      <c r="T46" s="106">
        <f>P46-H46</f>
        <v>-178</v>
      </c>
      <c r="U46" s="106">
        <f t="shared" ref="U46" si="48">Q46-I46</f>
        <v>-17</v>
      </c>
      <c r="V46" s="106">
        <f t="shared" si="47"/>
        <v>-12</v>
      </c>
      <c r="W46" s="93"/>
      <c r="X46" s="109">
        <v>10.196999999999999</v>
      </c>
      <c r="Y46" s="37">
        <v>206</v>
      </c>
      <c r="Z46" s="56">
        <f>H46/$G$46</f>
        <v>0.86979166666666663</v>
      </c>
      <c r="AA46" s="56">
        <f>I46/$G$46</f>
        <v>8.7339743589743585E-2</v>
      </c>
      <c r="AB46" s="56">
        <f>J46/$G$46</f>
        <v>4.2868589743589744E-2</v>
      </c>
      <c r="AC46" s="110">
        <f>ROUNDDOWN($Y$46*Z46,0)</f>
        <v>179</v>
      </c>
      <c r="AD46" s="110">
        <f>ROUNDDOWN($Y$46*AA46,0)</f>
        <v>17</v>
      </c>
      <c r="AE46" s="110">
        <v>10</v>
      </c>
      <c r="AF46" s="111">
        <f t="shared" ref="AF46:AF52" si="49">Y46-AC46-AD46-AE46</f>
        <v>0</v>
      </c>
      <c r="AK46" s="171"/>
      <c r="AL46" s="171"/>
      <c r="AM46" s="171"/>
      <c r="AN46" s="171"/>
      <c r="AO46" s="171"/>
      <c r="AP46" s="171"/>
      <c r="AQ46" s="171"/>
      <c r="AR46" s="171"/>
      <c r="AS46" s="171"/>
    </row>
    <row r="47" spans="1:45" s="50" customFormat="1" ht="25.5">
      <c r="A47" s="31" t="s">
        <v>191</v>
      </c>
      <c r="B47" s="32" t="s">
        <v>235</v>
      </c>
      <c r="C47" s="33" t="s">
        <v>250</v>
      </c>
      <c r="D47" s="33" t="s">
        <v>236</v>
      </c>
      <c r="E47" s="33" t="s">
        <v>32</v>
      </c>
      <c r="F47" s="33" t="s">
        <v>45</v>
      </c>
      <c r="G47" s="103">
        <f t="shared" si="46"/>
        <v>2455</v>
      </c>
      <c r="H47" s="53">
        <v>2136</v>
      </c>
      <c r="I47" s="53">
        <v>213</v>
      </c>
      <c r="J47" s="53">
        <v>106</v>
      </c>
      <c r="K47" s="89">
        <f t="shared" si="6"/>
        <v>2338</v>
      </c>
      <c r="L47" s="53">
        <v>2036</v>
      </c>
      <c r="M47" s="53">
        <v>204</v>
      </c>
      <c r="N47" s="53">
        <v>98</v>
      </c>
      <c r="O47" s="89">
        <f t="shared" si="7"/>
        <v>2265</v>
      </c>
      <c r="P47" s="92">
        <v>1970</v>
      </c>
      <c r="Q47" s="92">
        <v>197</v>
      </c>
      <c r="R47" s="92">
        <v>98</v>
      </c>
      <c r="S47" s="89">
        <f t="shared" si="11"/>
        <v>-190</v>
      </c>
      <c r="T47" s="106">
        <f>P47-H47</f>
        <v>-166</v>
      </c>
      <c r="U47" s="106">
        <f t="shared" ref="U47" si="50">Q47-I47</f>
        <v>-16</v>
      </c>
      <c r="V47" s="106">
        <f t="shared" ref="V47" si="51">R47-J47</f>
        <v>-8</v>
      </c>
      <c r="W47" s="93"/>
      <c r="X47" s="109">
        <v>0</v>
      </c>
      <c r="Y47" s="37">
        <v>40</v>
      </c>
      <c r="Z47" s="56">
        <f>H47/$G$47</f>
        <v>0.87006109979633406</v>
      </c>
      <c r="AA47" s="56">
        <f>I47/$G$47</f>
        <v>8.6761710794297356E-2</v>
      </c>
      <c r="AB47" s="56">
        <f>J47/$G$47</f>
        <v>4.3177189409368634E-2</v>
      </c>
      <c r="AC47" s="110">
        <f>ROUNDDOWN($Y$47*Z47,0)</f>
        <v>34</v>
      </c>
      <c r="AD47" s="110">
        <v>4</v>
      </c>
      <c r="AE47" s="110">
        <v>2</v>
      </c>
      <c r="AF47" s="111">
        <f t="shared" si="49"/>
        <v>0</v>
      </c>
      <c r="AK47" s="171"/>
      <c r="AL47" s="171"/>
      <c r="AM47" s="171"/>
      <c r="AN47" s="171"/>
      <c r="AO47" s="171"/>
      <c r="AP47" s="171"/>
      <c r="AQ47" s="171"/>
      <c r="AR47" s="171"/>
      <c r="AS47" s="171"/>
    </row>
    <row r="48" spans="1:45" s="50" customFormat="1" ht="25.5">
      <c r="A48" s="31" t="s">
        <v>192</v>
      </c>
      <c r="B48" s="32" t="s">
        <v>237</v>
      </c>
      <c r="C48" s="33" t="s">
        <v>250</v>
      </c>
      <c r="D48" s="33" t="s">
        <v>238</v>
      </c>
      <c r="E48" s="33" t="s">
        <v>27</v>
      </c>
      <c r="F48" s="33" t="s">
        <v>45</v>
      </c>
      <c r="G48" s="103">
        <f t="shared" si="46"/>
        <v>3206</v>
      </c>
      <c r="H48" s="53">
        <v>2788</v>
      </c>
      <c r="I48" s="53">
        <v>279</v>
      </c>
      <c r="J48" s="53">
        <v>139</v>
      </c>
      <c r="K48" s="89">
        <f t="shared" si="6"/>
        <v>3197</v>
      </c>
      <c r="L48" s="53">
        <v>2788</v>
      </c>
      <c r="M48" s="53">
        <v>279</v>
      </c>
      <c r="N48" s="53">
        <v>130</v>
      </c>
      <c r="O48" s="89">
        <f t="shared" si="7"/>
        <v>3124.116</v>
      </c>
      <c r="P48" s="92">
        <f t="shared" si="8"/>
        <v>2733.116</v>
      </c>
      <c r="Q48" s="92">
        <f t="shared" si="9"/>
        <v>261</v>
      </c>
      <c r="R48" s="92">
        <f t="shared" ref="R48:R53" si="52">J48+V48</f>
        <v>130</v>
      </c>
      <c r="S48" s="89">
        <f t="shared" si="11"/>
        <v>-81.884</v>
      </c>
      <c r="T48" s="106">
        <v>-54.884</v>
      </c>
      <c r="U48" s="106">
        <v>-18</v>
      </c>
      <c r="V48" s="106">
        <f t="shared" ref="V48:V53" si="53">N48-J48</f>
        <v>-9</v>
      </c>
      <c r="W48" s="93"/>
      <c r="X48" s="109">
        <v>54.884</v>
      </c>
      <c r="Y48" s="37">
        <v>14</v>
      </c>
      <c r="Z48" s="56">
        <f>H48/$G$48</f>
        <v>0.86961946350592634</v>
      </c>
      <c r="AA48" s="56">
        <f>I48/$G$48</f>
        <v>8.7024329382407992E-2</v>
      </c>
      <c r="AB48" s="56">
        <f>J48/$G$48</f>
        <v>4.3356207111665629E-2</v>
      </c>
      <c r="AC48" s="110">
        <f>ROUNDDOWN($Y48*Z48,0)</f>
        <v>12</v>
      </c>
      <c r="AD48" s="110">
        <f>ROUNDDOWN($Y48*AA48,0)</f>
        <v>1</v>
      </c>
      <c r="AE48" s="110">
        <f>ROUNDDOWN($Y48*AB48,0)+1</f>
        <v>1</v>
      </c>
      <c r="AF48" s="111">
        <f t="shared" si="49"/>
        <v>0</v>
      </c>
      <c r="AK48" s="171"/>
      <c r="AL48" s="171"/>
      <c r="AM48" s="171"/>
      <c r="AN48" s="171"/>
      <c r="AO48" s="171"/>
      <c r="AP48" s="171"/>
      <c r="AQ48" s="171"/>
      <c r="AR48" s="171"/>
      <c r="AS48" s="171"/>
    </row>
    <row r="49" spans="1:46" s="50" customFormat="1" ht="25.5">
      <c r="A49" s="31" t="s">
        <v>193</v>
      </c>
      <c r="B49" s="32" t="s">
        <v>239</v>
      </c>
      <c r="C49" s="33" t="s">
        <v>250</v>
      </c>
      <c r="D49" s="33" t="s">
        <v>240</v>
      </c>
      <c r="E49" s="33" t="s">
        <v>36</v>
      </c>
      <c r="F49" s="33" t="s">
        <v>45</v>
      </c>
      <c r="G49" s="103">
        <f t="shared" si="46"/>
        <v>2920</v>
      </c>
      <c r="H49" s="53">
        <v>2539</v>
      </c>
      <c r="I49" s="53">
        <v>255</v>
      </c>
      <c r="J49" s="53">
        <v>126</v>
      </c>
      <c r="K49" s="89">
        <f t="shared" si="6"/>
        <v>2866</v>
      </c>
      <c r="L49" s="53">
        <v>2505</v>
      </c>
      <c r="M49" s="53">
        <v>251</v>
      </c>
      <c r="N49" s="53">
        <v>110</v>
      </c>
      <c r="O49" s="89">
        <f t="shared" si="7"/>
        <v>2760.4780000000001</v>
      </c>
      <c r="P49" s="92">
        <f t="shared" si="8"/>
        <v>2422.4780000000001</v>
      </c>
      <c r="Q49" s="92">
        <f t="shared" si="9"/>
        <v>228</v>
      </c>
      <c r="R49" s="92">
        <f t="shared" si="52"/>
        <v>110</v>
      </c>
      <c r="S49" s="89">
        <f t="shared" si="11"/>
        <v>-159.52199999999999</v>
      </c>
      <c r="T49" s="106">
        <v>-116.52200000000001</v>
      </c>
      <c r="U49" s="106">
        <v>-27</v>
      </c>
      <c r="V49" s="106">
        <f t="shared" si="53"/>
        <v>-16</v>
      </c>
      <c r="W49" s="93"/>
      <c r="X49" s="109">
        <v>116.52200000000001</v>
      </c>
      <c r="Y49" s="37">
        <v>1</v>
      </c>
      <c r="Z49" s="56">
        <f t="shared" ref="Z49:AB52" si="54">H49/$G49</f>
        <v>0.8695205479452055</v>
      </c>
      <c r="AA49" s="56">
        <f t="shared" si="54"/>
        <v>8.7328767123287673E-2</v>
      </c>
      <c r="AB49" s="56">
        <f t="shared" si="54"/>
        <v>4.3150684931506852E-2</v>
      </c>
      <c r="AC49" s="110">
        <f>ROUNDDOWN($Y49*Z49,0)+1</f>
        <v>1</v>
      </c>
      <c r="AD49" s="110">
        <f>ROUNDDOWN($Y49*AA49,0)</f>
        <v>0</v>
      </c>
      <c r="AE49" s="110">
        <f t="shared" ref="AE49" si="55">ROUNDDOWN($Y49*AB49,0)</f>
        <v>0</v>
      </c>
      <c r="AF49" s="111">
        <f t="shared" si="49"/>
        <v>0</v>
      </c>
      <c r="AK49" s="171"/>
      <c r="AL49" s="171"/>
      <c r="AM49" s="171"/>
      <c r="AN49" s="171"/>
      <c r="AO49" s="171"/>
      <c r="AP49" s="171"/>
      <c r="AQ49" s="171"/>
      <c r="AR49" s="171"/>
      <c r="AS49" s="171"/>
    </row>
    <row r="50" spans="1:46" s="50" customFormat="1" ht="25.5">
      <c r="A50" s="31" t="s">
        <v>244</v>
      </c>
      <c r="B50" s="32" t="s">
        <v>241</v>
      </c>
      <c r="C50" s="33" t="s">
        <v>250</v>
      </c>
      <c r="D50" s="33" t="s">
        <v>242</v>
      </c>
      <c r="E50" s="33" t="s">
        <v>37</v>
      </c>
      <c r="F50" s="33" t="s">
        <v>45</v>
      </c>
      <c r="G50" s="103">
        <f t="shared" si="46"/>
        <v>3780</v>
      </c>
      <c r="H50" s="53">
        <v>3286</v>
      </c>
      <c r="I50" s="53">
        <v>329</v>
      </c>
      <c r="J50" s="53">
        <v>165</v>
      </c>
      <c r="K50" s="89">
        <f t="shared" si="6"/>
        <v>3768</v>
      </c>
      <c r="L50" s="53">
        <v>3286</v>
      </c>
      <c r="M50" s="53">
        <v>327</v>
      </c>
      <c r="N50" s="53">
        <v>155</v>
      </c>
      <c r="O50" s="89">
        <f t="shared" si="7"/>
        <v>3698.6889999999999</v>
      </c>
      <c r="P50" s="92">
        <f t="shared" si="8"/>
        <v>3232.6889999999999</v>
      </c>
      <c r="Q50" s="92">
        <f t="shared" si="9"/>
        <v>311</v>
      </c>
      <c r="R50" s="92">
        <f t="shared" si="52"/>
        <v>155</v>
      </c>
      <c r="S50" s="89">
        <f t="shared" si="11"/>
        <v>-81.311000000000007</v>
      </c>
      <c r="T50" s="106">
        <v>-53.311</v>
      </c>
      <c r="U50" s="106">
        <v>-18</v>
      </c>
      <c r="V50" s="106">
        <f t="shared" si="53"/>
        <v>-10</v>
      </c>
      <c r="W50" s="93"/>
      <c r="X50" s="109">
        <v>53.311</v>
      </c>
      <c r="Y50" s="37">
        <v>119</v>
      </c>
      <c r="Z50" s="56">
        <f t="shared" si="54"/>
        <v>0.86931216931216926</v>
      </c>
      <c r="AA50" s="56">
        <f t="shared" si="54"/>
        <v>8.7037037037037038E-2</v>
      </c>
      <c r="AB50" s="56">
        <f t="shared" si="54"/>
        <v>4.3650793650793648E-2</v>
      </c>
      <c r="AC50" s="110">
        <f>ROUNDDOWN($Y50*Z50,0)+1</f>
        <v>104</v>
      </c>
      <c r="AD50" s="110">
        <f t="shared" ref="AD50" si="56">ROUNDDOWN($Y50*AA50,0)</f>
        <v>10</v>
      </c>
      <c r="AE50" s="110">
        <f t="shared" ref="AE50" si="57">ROUNDDOWN($Y50*AB50,0)</f>
        <v>5</v>
      </c>
      <c r="AF50" s="111">
        <f t="shared" si="49"/>
        <v>0</v>
      </c>
      <c r="AK50" s="171"/>
      <c r="AL50" s="171"/>
      <c r="AM50" s="171"/>
      <c r="AN50" s="171"/>
      <c r="AO50" s="171"/>
      <c r="AP50" s="171"/>
      <c r="AQ50" s="171"/>
      <c r="AR50" s="171"/>
      <c r="AS50" s="171"/>
    </row>
    <row r="51" spans="1:46" s="50" customFormat="1" ht="25.5">
      <c r="A51" s="31" t="s">
        <v>245</v>
      </c>
      <c r="B51" s="32" t="s">
        <v>249</v>
      </c>
      <c r="C51" s="33" t="s">
        <v>250</v>
      </c>
      <c r="D51" s="33" t="s">
        <v>234</v>
      </c>
      <c r="E51" s="33" t="s">
        <v>30</v>
      </c>
      <c r="F51" s="33" t="s">
        <v>45</v>
      </c>
      <c r="G51" s="103">
        <f t="shared" si="46"/>
        <v>1987</v>
      </c>
      <c r="H51" s="53">
        <v>1727</v>
      </c>
      <c r="I51" s="53">
        <v>174</v>
      </c>
      <c r="J51" s="53">
        <v>86</v>
      </c>
      <c r="K51" s="89">
        <f t="shared" si="6"/>
        <v>1870</v>
      </c>
      <c r="L51" s="53">
        <v>1627</v>
      </c>
      <c r="M51" s="53">
        <v>165</v>
      </c>
      <c r="N51" s="53">
        <v>78</v>
      </c>
      <c r="O51" s="89">
        <f t="shared" si="7"/>
        <v>1979</v>
      </c>
      <c r="P51" s="92">
        <f t="shared" si="8"/>
        <v>1727</v>
      </c>
      <c r="Q51" s="92">
        <f t="shared" si="9"/>
        <v>174</v>
      </c>
      <c r="R51" s="92">
        <f t="shared" si="52"/>
        <v>78</v>
      </c>
      <c r="S51" s="89">
        <f t="shared" si="11"/>
        <v>-8</v>
      </c>
      <c r="T51" s="106"/>
      <c r="U51" s="106"/>
      <c r="V51" s="106">
        <f t="shared" si="53"/>
        <v>-8</v>
      </c>
      <c r="W51" s="93"/>
      <c r="X51" s="109">
        <v>0</v>
      </c>
      <c r="Y51" s="37">
        <v>3</v>
      </c>
      <c r="Z51" s="56">
        <f t="shared" si="54"/>
        <v>0.86914947156517364</v>
      </c>
      <c r="AA51" s="56">
        <f t="shared" si="54"/>
        <v>8.7569199798691488E-2</v>
      </c>
      <c r="AB51" s="56">
        <f t="shared" si="54"/>
        <v>4.3281328636134875E-2</v>
      </c>
      <c r="AC51" s="110">
        <f>ROUNDDOWN($Y51*Z51,0)+1</f>
        <v>3</v>
      </c>
      <c r="AD51" s="110">
        <f t="shared" ref="AD51" si="58">ROUNDDOWN($Y51*AA51,0)</f>
        <v>0</v>
      </c>
      <c r="AE51" s="110">
        <f t="shared" ref="AE51" si="59">ROUNDDOWN($Y51*AB51,0)</f>
        <v>0</v>
      </c>
      <c r="AF51" s="111">
        <f t="shared" si="49"/>
        <v>0</v>
      </c>
      <c r="AK51" s="171"/>
      <c r="AL51" s="171"/>
      <c r="AM51" s="171"/>
      <c r="AN51" s="171"/>
      <c r="AO51" s="171"/>
      <c r="AP51" s="171"/>
      <c r="AQ51" s="171"/>
      <c r="AR51" s="171"/>
      <c r="AS51" s="171"/>
    </row>
    <row r="52" spans="1:46" s="50" customFormat="1" ht="25.5">
      <c r="A52" s="31" t="s">
        <v>246</v>
      </c>
      <c r="B52" s="32" t="s">
        <v>247</v>
      </c>
      <c r="C52" s="33" t="s">
        <v>250</v>
      </c>
      <c r="D52" s="33" t="s">
        <v>243</v>
      </c>
      <c r="E52" s="33" t="s">
        <v>32</v>
      </c>
      <c r="F52" s="33" t="s">
        <v>45</v>
      </c>
      <c r="G52" s="103">
        <f t="shared" si="46"/>
        <v>2058</v>
      </c>
      <c r="H52" s="53">
        <v>1788</v>
      </c>
      <c r="I52" s="53">
        <v>180</v>
      </c>
      <c r="J52" s="53">
        <v>90</v>
      </c>
      <c r="K52" s="89">
        <f t="shared" si="6"/>
        <v>2052</v>
      </c>
      <c r="L52" s="53">
        <v>1788</v>
      </c>
      <c r="M52" s="53">
        <v>179</v>
      </c>
      <c r="N52" s="53">
        <v>85</v>
      </c>
      <c r="O52" s="89">
        <f t="shared" si="7"/>
        <v>2053</v>
      </c>
      <c r="P52" s="92">
        <f t="shared" si="8"/>
        <v>1788</v>
      </c>
      <c r="Q52" s="92">
        <f t="shared" si="9"/>
        <v>180</v>
      </c>
      <c r="R52" s="92">
        <f t="shared" si="52"/>
        <v>85</v>
      </c>
      <c r="S52" s="89">
        <f t="shared" si="11"/>
        <v>-5</v>
      </c>
      <c r="T52" s="106"/>
      <c r="U52" s="106"/>
      <c r="V52" s="106">
        <f t="shared" si="53"/>
        <v>-5</v>
      </c>
      <c r="W52" s="93"/>
      <c r="X52" s="109">
        <v>0</v>
      </c>
      <c r="Y52" s="37">
        <v>50</v>
      </c>
      <c r="Z52" s="56">
        <f t="shared" si="54"/>
        <v>0.86880466472303208</v>
      </c>
      <c r="AA52" s="56">
        <f t="shared" si="54"/>
        <v>8.7463556851311949E-2</v>
      </c>
      <c r="AB52" s="56">
        <f t="shared" si="54"/>
        <v>4.3731778425655975E-2</v>
      </c>
      <c r="AC52" s="110">
        <f>ROUNDDOWN($Y52*Z52,0)+1</f>
        <v>44</v>
      </c>
      <c r="AD52" s="110">
        <f t="shared" ref="AD52" si="60">ROUNDDOWN($Y52*AA52,0)</f>
        <v>4</v>
      </c>
      <c r="AE52" s="110">
        <f t="shared" ref="AE52" si="61">ROUNDDOWN($Y52*AB52,0)</f>
        <v>2</v>
      </c>
      <c r="AF52" s="111">
        <f t="shared" si="49"/>
        <v>0</v>
      </c>
      <c r="AK52" s="171"/>
      <c r="AL52" s="171"/>
      <c r="AM52" s="171"/>
      <c r="AN52" s="171"/>
      <c r="AO52" s="171"/>
      <c r="AP52" s="171"/>
      <c r="AQ52" s="171"/>
      <c r="AR52" s="171"/>
      <c r="AS52" s="171"/>
    </row>
    <row r="53" spans="1:46" s="50" customFormat="1" ht="25.5">
      <c r="A53" s="31" t="s">
        <v>342</v>
      </c>
      <c r="B53" s="32" t="s">
        <v>263</v>
      </c>
      <c r="C53" s="33" t="s">
        <v>250</v>
      </c>
      <c r="D53" s="33" t="s">
        <v>232</v>
      </c>
      <c r="E53" s="33" t="s">
        <v>48</v>
      </c>
      <c r="F53" s="33"/>
      <c r="G53" s="103">
        <f>H53+I53+J53</f>
        <v>433</v>
      </c>
      <c r="H53" s="53">
        <v>377</v>
      </c>
      <c r="I53" s="53">
        <v>36</v>
      </c>
      <c r="J53" s="53">
        <v>20</v>
      </c>
      <c r="K53" s="89">
        <f t="shared" si="6"/>
        <v>432</v>
      </c>
      <c r="L53" s="53">
        <v>377</v>
      </c>
      <c r="M53" s="53">
        <v>36</v>
      </c>
      <c r="N53" s="53">
        <v>19</v>
      </c>
      <c r="O53" s="89">
        <f t="shared" si="7"/>
        <v>432</v>
      </c>
      <c r="P53" s="92">
        <f t="shared" si="8"/>
        <v>377</v>
      </c>
      <c r="Q53" s="92">
        <f t="shared" si="9"/>
        <v>36</v>
      </c>
      <c r="R53" s="92">
        <f t="shared" si="52"/>
        <v>19</v>
      </c>
      <c r="S53" s="89">
        <f t="shared" si="11"/>
        <v>-1</v>
      </c>
      <c r="T53" s="106"/>
      <c r="U53" s="106"/>
      <c r="V53" s="106">
        <f t="shared" si="53"/>
        <v>-1</v>
      </c>
      <c r="W53" s="93"/>
      <c r="X53" s="109">
        <v>0</v>
      </c>
      <c r="Y53" s="37">
        <v>26409</v>
      </c>
      <c r="Z53" s="56">
        <v>2641</v>
      </c>
      <c r="AA53" s="56">
        <v>1321</v>
      </c>
      <c r="AB53" s="56"/>
      <c r="AC53" s="56"/>
      <c r="AD53" s="56"/>
      <c r="AE53" s="56"/>
      <c r="AF53" s="56"/>
      <c r="AK53" s="171"/>
      <c r="AL53" s="171"/>
      <c r="AM53" s="171"/>
      <c r="AN53" s="171"/>
      <c r="AO53" s="171"/>
      <c r="AP53" s="171"/>
      <c r="AQ53" s="171"/>
      <c r="AR53" s="171"/>
      <c r="AS53" s="171"/>
    </row>
    <row r="54" spans="1:46" s="52" customFormat="1" ht="30" customHeight="1">
      <c r="A54" s="216" t="s">
        <v>152</v>
      </c>
      <c r="B54" s="216"/>
      <c r="C54" s="216"/>
      <c r="D54" s="216"/>
      <c r="E54" s="216"/>
      <c r="F54" s="216"/>
      <c r="G54" s="116">
        <f>SUM(G55:G59)</f>
        <v>30371</v>
      </c>
      <c r="H54" s="116">
        <f t="shared" ref="H54:V54" si="62">SUM(H55:H59)</f>
        <v>26409</v>
      </c>
      <c r="I54" s="116">
        <f t="shared" si="62"/>
        <v>2641</v>
      </c>
      <c r="J54" s="116">
        <f t="shared" si="62"/>
        <v>1321</v>
      </c>
      <c r="K54" s="116">
        <f t="shared" si="62"/>
        <v>20954</v>
      </c>
      <c r="L54" s="116">
        <f t="shared" si="62"/>
        <v>19049</v>
      </c>
      <c r="M54" s="116">
        <f t="shared" si="62"/>
        <v>1905</v>
      </c>
      <c r="N54" s="116">
        <f t="shared" si="62"/>
        <v>0</v>
      </c>
      <c r="O54" s="116">
        <f t="shared" si="62"/>
        <v>30371</v>
      </c>
      <c r="P54" s="116">
        <f t="shared" si="62"/>
        <v>26409</v>
      </c>
      <c r="Q54" s="116">
        <f t="shared" si="62"/>
        <v>2641</v>
      </c>
      <c r="R54" s="116">
        <f t="shared" si="62"/>
        <v>1321</v>
      </c>
      <c r="S54" s="116">
        <f t="shared" si="62"/>
        <v>0</v>
      </c>
      <c r="T54" s="116">
        <f t="shared" si="62"/>
        <v>0</v>
      </c>
      <c r="U54" s="116">
        <f t="shared" si="62"/>
        <v>0</v>
      </c>
      <c r="V54" s="116">
        <f t="shared" si="62"/>
        <v>0</v>
      </c>
      <c r="W54" s="117"/>
      <c r="X54" s="118">
        <f>O54-X53</f>
        <v>30371</v>
      </c>
      <c r="Y54" s="118">
        <f>P54-Y53</f>
        <v>0</v>
      </c>
      <c r="Z54" s="118">
        <f>Q54-Z53</f>
        <v>0</v>
      </c>
      <c r="AA54" s="118">
        <f>R54-AA53</f>
        <v>0</v>
      </c>
      <c r="AB54" s="86"/>
      <c r="AC54" s="86"/>
      <c r="AD54" s="86"/>
      <c r="AE54" s="86"/>
      <c r="AF54" s="86"/>
      <c r="AK54" s="169"/>
      <c r="AL54" s="169"/>
      <c r="AM54" s="169"/>
      <c r="AN54" s="169"/>
      <c r="AO54" s="169"/>
      <c r="AP54" s="169"/>
      <c r="AQ54" s="169"/>
      <c r="AR54" s="169"/>
      <c r="AS54" s="169"/>
    </row>
    <row r="55" spans="1:46" s="50" customFormat="1" ht="38.25">
      <c r="A55" s="31">
        <v>1</v>
      </c>
      <c r="B55" s="32" t="s">
        <v>154</v>
      </c>
      <c r="C55" s="33" t="s">
        <v>251</v>
      </c>
      <c r="D55" s="33" t="s">
        <v>158</v>
      </c>
      <c r="E55" s="33" t="s">
        <v>120</v>
      </c>
      <c r="F55" s="33" t="s">
        <v>62</v>
      </c>
      <c r="G55" s="103">
        <f>H55+I55+J55</f>
        <v>11689</v>
      </c>
      <c r="H55" s="53">
        <v>10163</v>
      </c>
      <c r="I55" s="53">
        <v>1017</v>
      </c>
      <c r="J55" s="53">
        <v>509</v>
      </c>
      <c r="K55" s="89">
        <f t="shared" si="6"/>
        <v>10672</v>
      </c>
      <c r="L55" s="53">
        <v>10163</v>
      </c>
      <c r="M55" s="53">
        <v>509</v>
      </c>
      <c r="N55" s="53"/>
      <c r="O55" s="89">
        <f t="shared" si="7"/>
        <v>11689</v>
      </c>
      <c r="P55" s="92">
        <f t="shared" si="8"/>
        <v>10163</v>
      </c>
      <c r="Q55" s="92">
        <f t="shared" si="9"/>
        <v>1017</v>
      </c>
      <c r="R55" s="92">
        <f t="shared" si="10"/>
        <v>509</v>
      </c>
      <c r="S55" s="89">
        <f t="shared" si="11"/>
        <v>0</v>
      </c>
      <c r="T55" s="106">
        <v>0</v>
      </c>
      <c r="U55" s="106">
        <v>0</v>
      </c>
      <c r="V55" s="106">
        <v>0</v>
      </c>
      <c r="W55" s="93" t="s">
        <v>279</v>
      </c>
      <c r="X55" s="109"/>
      <c r="Y55" s="37">
        <v>742</v>
      </c>
      <c r="Z55" s="56">
        <f>H55/$G55</f>
        <v>0.8694499101719565</v>
      </c>
      <c r="AA55" s="56">
        <f>I55/$G55</f>
        <v>8.7004876379502091E-2</v>
      </c>
      <c r="AB55" s="56">
        <f>J55/$G55</f>
        <v>4.3545213448541363E-2</v>
      </c>
      <c r="AC55" s="110">
        <f>ROUNDDOWN($Y55*Z55,0)+1</f>
        <v>646</v>
      </c>
      <c r="AD55" s="110">
        <f t="shared" ref="AD55" si="63">ROUNDDOWN($Y55*AA55,0)</f>
        <v>64</v>
      </c>
      <c r="AE55" s="110">
        <f t="shared" ref="AE55" si="64">ROUNDDOWN($Y55*AB55,0)</f>
        <v>32</v>
      </c>
      <c r="AF55" s="111">
        <f>Y55-AC55-AD55-AE55</f>
        <v>0</v>
      </c>
      <c r="AK55" s="171"/>
      <c r="AL55" s="171"/>
      <c r="AM55" s="171"/>
      <c r="AN55" s="171"/>
      <c r="AO55" s="171"/>
      <c r="AP55" s="171"/>
      <c r="AQ55" s="171"/>
      <c r="AR55" s="171"/>
      <c r="AS55" s="171"/>
    </row>
    <row r="56" spans="1:46" s="50" customFormat="1" ht="38.25">
      <c r="A56" s="31">
        <v>2</v>
      </c>
      <c r="B56" s="173" t="s">
        <v>364</v>
      </c>
      <c r="C56" s="33" t="s">
        <v>251</v>
      </c>
      <c r="D56" s="33" t="s">
        <v>365</v>
      </c>
      <c r="E56" s="33" t="s">
        <v>142</v>
      </c>
      <c r="F56" s="33" t="s">
        <v>157</v>
      </c>
      <c r="G56" s="103">
        <f>H56+I56+J56</f>
        <v>7067</v>
      </c>
      <c r="H56" s="53">
        <v>6146</v>
      </c>
      <c r="I56" s="53">
        <v>614</v>
      </c>
      <c r="J56" s="53">
        <v>307</v>
      </c>
      <c r="K56" s="89">
        <f t="shared" si="6"/>
        <v>6503</v>
      </c>
      <c r="L56" s="53">
        <v>5786</v>
      </c>
      <c r="M56" s="53">
        <v>717</v>
      </c>
      <c r="N56" s="53"/>
      <c r="O56" s="89">
        <f t="shared" si="7"/>
        <v>7067</v>
      </c>
      <c r="P56" s="92">
        <f t="shared" si="8"/>
        <v>6146</v>
      </c>
      <c r="Q56" s="92">
        <f t="shared" si="9"/>
        <v>614</v>
      </c>
      <c r="R56" s="92">
        <f t="shared" si="10"/>
        <v>307</v>
      </c>
      <c r="S56" s="89">
        <f t="shared" si="11"/>
        <v>0</v>
      </c>
      <c r="T56" s="106">
        <v>0</v>
      </c>
      <c r="U56" s="106">
        <v>0</v>
      </c>
      <c r="V56" s="106">
        <v>0</v>
      </c>
      <c r="W56" s="93" t="s">
        <v>279</v>
      </c>
      <c r="X56" s="109"/>
      <c r="Y56" s="37">
        <f>Z56+AA56+AB56</f>
        <v>742</v>
      </c>
      <c r="Z56" s="55">
        <f>$Y$55*Z55</f>
        <v>645.13183334759174</v>
      </c>
      <c r="AA56" s="55">
        <f t="shared" ref="AA56:AB56" si="65">$Y$55*AA55</f>
        <v>64.557618273590549</v>
      </c>
      <c r="AB56" s="55">
        <f t="shared" si="65"/>
        <v>32.310548378817693</v>
      </c>
      <c r="AC56" s="56"/>
      <c r="AD56" s="56"/>
      <c r="AE56" s="56"/>
      <c r="AF56" s="56"/>
      <c r="AK56" s="171"/>
      <c r="AL56" s="171"/>
      <c r="AM56" s="171"/>
      <c r="AN56" s="171"/>
      <c r="AO56" s="171"/>
      <c r="AP56" s="171"/>
      <c r="AQ56" s="171"/>
      <c r="AR56" s="171"/>
      <c r="AS56" s="171"/>
    </row>
    <row r="57" spans="1:46" s="50" customFormat="1" ht="38.25">
      <c r="A57" s="31">
        <v>3</v>
      </c>
      <c r="B57" s="32" t="s">
        <v>155</v>
      </c>
      <c r="C57" s="33" t="s">
        <v>251</v>
      </c>
      <c r="D57" s="33" t="s">
        <v>159</v>
      </c>
      <c r="E57" s="33" t="s">
        <v>79</v>
      </c>
      <c r="F57" s="119" t="s">
        <v>49</v>
      </c>
      <c r="G57" s="103">
        <f>H57+I57+J57</f>
        <v>11615</v>
      </c>
      <c r="H57" s="53">
        <v>10100</v>
      </c>
      <c r="I57" s="53">
        <v>1010</v>
      </c>
      <c r="J57" s="53">
        <v>505</v>
      </c>
      <c r="K57" s="89">
        <f t="shared" si="6"/>
        <v>0</v>
      </c>
      <c r="L57" s="53"/>
      <c r="M57" s="53"/>
      <c r="N57" s="53"/>
      <c r="O57" s="89">
        <f t="shared" si="7"/>
        <v>10850</v>
      </c>
      <c r="P57" s="92">
        <f>H57+T57</f>
        <v>9434</v>
      </c>
      <c r="Q57" s="92">
        <f t="shared" si="9"/>
        <v>944</v>
      </c>
      <c r="R57" s="92">
        <f t="shared" si="10"/>
        <v>472</v>
      </c>
      <c r="S57" s="89">
        <f t="shared" si="11"/>
        <v>-765</v>
      </c>
      <c r="T57" s="106">
        <v>-666</v>
      </c>
      <c r="U57" s="106">
        <v>-66</v>
      </c>
      <c r="V57" s="106">
        <v>-33</v>
      </c>
      <c r="W57" s="93" t="s">
        <v>369</v>
      </c>
      <c r="X57" s="109"/>
      <c r="Y57" s="37">
        <f>O57/G57*100</f>
        <v>93.413689195006455</v>
      </c>
      <c r="Z57" s="56"/>
      <c r="AA57" s="56"/>
      <c r="AB57" s="56"/>
      <c r="AC57" s="56"/>
      <c r="AD57" s="56"/>
      <c r="AE57" s="56"/>
      <c r="AF57" s="56"/>
      <c r="AK57" s="171"/>
      <c r="AL57" s="171"/>
      <c r="AM57" s="171"/>
      <c r="AN57" s="171"/>
      <c r="AO57" s="171"/>
      <c r="AP57" s="171"/>
      <c r="AQ57" s="171"/>
      <c r="AR57" s="171"/>
      <c r="AS57" s="171"/>
    </row>
    <row r="58" spans="1:46" s="50" customFormat="1" ht="33.75">
      <c r="A58" s="31">
        <v>4</v>
      </c>
      <c r="B58" s="167" t="s">
        <v>367</v>
      </c>
      <c r="C58" s="33" t="s">
        <v>124</v>
      </c>
      <c r="D58" s="33" t="s">
        <v>366</v>
      </c>
      <c r="E58" s="33" t="s">
        <v>120</v>
      </c>
      <c r="F58" s="119" t="s">
        <v>49</v>
      </c>
      <c r="G58" s="103">
        <f>H58+I58+J58</f>
        <v>0</v>
      </c>
      <c r="H58" s="53"/>
      <c r="I58" s="53"/>
      <c r="J58" s="53"/>
      <c r="K58" s="89">
        <f t="shared" ref="K58" si="66">L58+M58+N58</f>
        <v>0</v>
      </c>
      <c r="L58" s="53"/>
      <c r="M58" s="53"/>
      <c r="N58" s="53"/>
      <c r="O58" s="89">
        <f t="shared" ref="O58" si="67">P58+Q58+R58</f>
        <v>765</v>
      </c>
      <c r="P58" s="92">
        <v>666</v>
      </c>
      <c r="Q58" s="92">
        <v>66</v>
      </c>
      <c r="R58" s="92">
        <v>33</v>
      </c>
      <c r="S58" s="89">
        <f t="shared" ref="S58" si="68">T58+U58+V58</f>
        <v>765</v>
      </c>
      <c r="T58" s="92">
        <f>P58-H58</f>
        <v>666</v>
      </c>
      <c r="U58" s="92">
        <f t="shared" ref="U58:V58" si="69">Q58-I58</f>
        <v>66</v>
      </c>
      <c r="V58" s="92">
        <f t="shared" si="69"/>
        <v>33</v>
      </c>
      <c r="W58" s="93" t="s">
        <v>368</v>
      </c>
      <c r="X58" s="109"/>
      <c r="Y58" s="37" t="e">
        <f>O58/G58*100</f>
        <v>#DIV/0!</v>
      </c>
      <c r="Z58" s="56"/>
      <c r="AA58" s="56"/>
      <c r="AB58" s="56"/>
      <c r="AC58" s="56"/>
      <c r="AD58" s="56"/>
      <c r="AE58" s="56"/>
      <c r="AF58" s="56"/>
      <c r="AK58" s="171"/>
      <c r="AL58" s="171"/>
      <c r="AM58" s="171"/>
      <c r="AN58" s="171"/>
      <c r="AO58" s="171"/>
      <c r="AP58" s="171"/>
      <c r="AQ58" s="171"/>
      <c r="AR58" s="171"/>
      <c r="AS58" s="171"/>
    </row>
    <row r="59" spans="1:46" s="51" customFormat="1" ht="15.75">
      <c r="A59" s="120">
        <v>3</v>
      </c>
      <c r="B59" s="121" t="s">
        <v>264</v>
      </c>
      <c r="C59" s="122"/>
      <c r="D59" s="122"/>
      <c r="E59" s="122"/>
      <c r="F59" s="122"/>
      <c r="G59" s="112"/>
      <c r="H59" s="113"/>
      <c r="I59" s="113"/>
      <c r="J59" s="113"/>
      <c r="K59" s="89">
        <f t="shared" si="6"/>
        <v>3779</v>
      </c>
      <c r="L59" s="113">
        <v>3100</v>
      </c>
      <c r="M59" s="113">
        <v>679</v>
      </c>
      <c r="N59" s="113"/>
      <c r="O59" s="89">
        <f t="shared" si="7"/>
        <v>0</v>
      </c>
      <c r="P59" s="92">
        <f t="shared" si="8"/>
        <v>0</v>
      </c>
      <c r="Q59" s="92">
        <f t="shared" si="9"/>
        <v>0</v>
      </c>
      <c r="R59" s="92">
        <f t="shared" si="10"/>
        <v>0</v>
      </c>
      <c r="S59" s="89">
        <f t="shared" si="11"/>
        <v>0</v>
      </c>
      <c r="T59" s="106">
        <v>0</v>
      </c>
      <c r="U59" s="106">
        <v>0</v>
      </c>
      <c r="V59" s="106">
        <v>0</v>
      </c>
      <c r="W59" s="123"/>
      <c r="X59" s="124">
        <v>184538</v>
      </c>
      <c r="Y59" s="114">
        <v>160468</v>
      </c>
      <c r="Z59" s="115">
        <v>16047</v>
      </c>
      <c r="AA59" s="115">
        <v>8023</v>
      </c>
      <c r="AB59" s="115"/>
      <c r="AC59" s="115"/>
      <c r="AD59" s="115"/>
      <c r="AE59" s="115"/>
      <c r="AF59" s="115"/>
      <c r="AK59" s="183"/>
      <c r="AL59" s="183"/>
      <c r="AM59" s="183"/>
      <c r="AN59" s="183"/>
      <c r="AO59" s="183"/>
      <c r="AP59" s="183"/>
      <c r="AQ59" s="183"/>
      <c r="AR59" s="183"/>
      <c r="AS59" s="183"/>
    </row>
    <row r="60" spans="1:46" s="52" customFormat="1" ht="47.1" customHeight="1">
      <c r="A60" s="216" t="s">
        <v>153</v>
      </c>
      <c r="B60" s="216"/>
      <c r="C60" s="216"/>
      <c r="D60" s="216"/>
      <c r="E60" s="216"/>
      <c r="F60" s="216"/>
      <c r="G60" s="116">
        <f>G61</f>
        <v>184538</v>
      </c>
      <c r="H60" s="116">
        <f t="shared" ref="H60:V60" si="70">H61</f>
        <v>160468</v>
      </c>
      <c r="I60" s="116">
        <f t="shared" si="70"/>
        <v>16047</v>
      </c>
      <c r="J60" s="116">
        <f t="shared" si="70"/>
        <v>8023</v>
      </c>
      <c r="K60" s="116">
        <f t="shared" si="70"/>
        <v>131137.27466223403</v>
      </c>
      <c r="L60" s="116">
        <f t="shared" si="70"/>
        <v>117789</v>
      </c>
      <c r="M60" s="116">
        <f t="shared" si="70"/>
        <v>11777</v>
      </c>
      <c r="N60" s="116">
        <f t="shared" si="70"/>
        <v>1571.2746622340426</v>
      </c>
      <c r="O60" s="116">
        <f t="shared" si="70"/>
        <v>200529.3</v>
      </c>
      <c r="P60" s="116">
        <f t="shared" si="70"/>
        <v>174373.99999999997</v>
      </c>
      <c r="Q60" s="116">
        <f t="shared" si="70"/>
        <v>17436.999999999996</v>
      </c>
      <c r="R60" s="116">
        <f t="shared" si="70"/>
        <v>8718.2999999999993</v>
      </c>
      <c r="S60" s="116">
        <f t="shared" si="70"/>
        <v>15991.300000000001</v>
      </c>
      <c r="T60" s="116">
        <f t="shared" si="70"/>
        <v>13905.999999999998</v>
      </c>
      <c r="U60" s="116">
        <f t="shared" si="70"/>
        <v>1390</v>
      </c>
      <c r="V60" s="116">
        <f t="shared" si="70"/>
        <v>695.29999999999984</v>
      </c>
      <c r="W60" s="117"/>
      <c r="X60" s="118">
        <f>X59-O60</f>
        <v>-15991.299999999988</v>
      </c>
      <c r="Y60" s="118">
        <f>Y59-P60</f>
        <v>-13905.999999999971</v>
      </c>
      <c r="Z60" s="118">
        <f>Z59-Q60</f>
        <v>-1389.9999999999964</v>
      </c>
      <c r="AA60" s="118">
        <f>AA59-R60</f>
        <v>-695.29999999999927</v>
      </c>
      <c r="AB60" s="86"/>
      <c r="AC60" s="86"/>
      <c r="AD60" s="86"/>
      <c r="AE60" s="86"/>
      <c r="AF60" s="86"/>
      <c r="AK60" s="169"/>
      <c r="AL60" s="169"/>
      <c r="AM60" s="169"/>
      <c r="AN60" s="169"/>
      <c r="AO60" s="169"/>
      <c r="AP60" s="169"/>
      <c r="AQ60" s="169"/>
      <c r="AR60" s="201"/>
      <c r="AS60" s="201"/>
      <c r="AT60" s="203"/>
    </row>
    <row r="61" spans="1:46" s="9" customFormat="1" ht="41.1" customHeight="1">
      <c r="A61" s="215" t="s">
        <v>9</v>
      </c>
      <c r="B61" s="215"/>
      <c r="C61" s="215"/>
      <c r="D61" s="215"/>
      <c r="E61" s="215"/>
      <c r="F61" s="101"/>
      <c r="G61" s="104">
        <f t="shared" ref="G61:V61" si="71">G62+G97+G175+G181</f>
        <v>184538</v>
      </c>
      <c r="H61" s="104">
        <f t="shared" si="71"/>
        <v>160468</v>
      </c>
      <c r="I61" s="104">
        <f t="shared" si="71"/>
        <v>16047</v>
      </c>
      <c r="J61" s="104">
        <f t="shared" si="71"/>
        <v>8023</v>
      </c>
      <c r="K61" s="104">
        <f t="shared" si="71"/>
        <v>131137.27466223403</v>
      </c>
      <c r="L61" s="104">
        <f t="shared" si="71"/>
        <v>117789</v>
      </c>
      <c r="M61" s="104">
        <f t="shared" si="71"/>
        <v>11777</v>
      </c>
      <c r="N61" s="104">
        <f t="shared" si="71"/>
        <v>1571.2746622340426</v>
      </c>
      <c r="O61" s="104">
        <f t="shared" si="71"/>
        <v>200529.3</v>
      </c>
      <c r="P61" s="104">
        <f t="shared" si="71"/>
        <v>174373.99999999997</v>
      </c>
      <c r="Q61" s="104">
        <f t="shared" si="71"/>
        <v>17436.999999999996</v>
      </c>
      <c r="R61" s="104">
        <f t="shared" si="71"/>
        <v>8718.2999999999993</v>
      </c>
      <c r="S61" s="104">
        <f t="shared" si="71"/>
        <v>15991.300000000001</v>
      </c>
      <c r="T61" s="104">
        <f t="shared" si="71"/>
        <v>13905.999999999998</v>
      </c>
      <c r="U61" s="104">
        <f t="shared" si="71"/>
        <v>1390</v>
      </c>
      <c r="V61" s="104">
        <f t="shared" si="71"/>
        <v>695.29999999999984</v>
      </c>
      <c r="W61" s="125"/>
      <c r="X61" s="126">
        <f>H61-P61</f>
        <v>-13905.999999999971</v>
      </c>
      <c r="Y61" s="126">
        <f>I61-Q61</f>
        <v>-1389.9999999999964</v>
      </c>
      <c r="Z61" s="126">
        <f>J61-R61</f>
        <v>-695.29999999999927</v>
      </c>
      <c r="AA61" s="127"/>
      <c r="AB61" s="127"/>
      <c r="AC61" s="104" t="e">
        <f>SUM(AC62:AC178)</f>
        <v>#DIV/0!</v>
      </c>
      <c r="AD61" s="104" t="e">
        <f>SUM(AD62:AD178)</f>
        <v>#DIV/0!</v>
      </c>
      <c r="AE61" s="104" t="e">
        <f>SUM(AE62:AE178)</f>
        <v>#DIV/0!</v>
      </c>
      <c r="AF61" s="104" t="e">
        <f>SUM(AF62:AF178)</f>
        <v>#DIV/0!</v>
      </c>
      <c r="AK61" s="168"/>
      <c r="AL61" s="168"/>
      <c r="AM61" s="168"/>
      <c r="AN61" s="168"/>
      <c r="AO61" s="168"/>
      <c r="AP61" s="168"/>
      <c r="AQ61" s="168"/>
      <c r="AR61" s="168"/>
      <c r="AS61" s="206"/>
      <c r="AT61" s="204"/>
    </row>
    <row r="62" spans="1:46" s="14" customFormat="1" ht="15.75">
      <c r="A62" s="128" t="s">
        <v>5</v>
      </c>
      <c r="B62" s="129" t="s">
        <v>39</v>
      </c>
      <c r="C62" s="129"/>
      <c r="D62" s="129"/>
      <c r="E62" s="129"/>
      <c r="F62" s="129"/>
      <c r="G62" s="181">
        <f t="shared" ref="G62:V62" si="72">G63+G69+G78+G84</f>
        <v>49150</v>
      </c>
      <c r="H62" s="181">
        <f t="shared" si="72"/>
        <v>42735</v>
      </c>
      <c r="I62" s="181">
        <f t="shared" si="72"/>
        <v>4276</v>
      </c>
      <c r="J62" s="181">
        <f t="shared" si="72"/>
        <v>2139</v>
      </c>
      <c r="K62" s="181">
        <f t="shared" si="72"/>
        <v>30397.498</v>
      </c>
      <c r="L62" s="181">
        <f t="shared" si="72"/>
        <v>27322</v>
      </c>
      <c r="M62" s="181">
        <f t="shared" si="72"/>
        <v>2758</v>
      </c>
      <c r="N62" s="181">
        <f t="shared" si="72"/>
        <v>317.49799999999999</v>
      </c>
      <c r="O62" s="181">
        <f t="shared" si="72"/>
        <v>53668.561166031075</v>
      </c>
      <c r="P62" s="181">
        <f t="shared" si="72"/>
        <v>46664.331047183659</v>
      </c>
      <c r="Q62" s="181">
        <f t="shared" si="72"/>
        <v>4668.7635664882273</v>
      </c>
      <c r="R62" s="181">
        <f t="shared" si="72"/>
        <v>2335.4665523591834</v>
      </c>
      <c r="S62" s="181">
        <f t="shared" si="72"/>
        <v>4518.5611660310769</v>
      </c>
      <c r="T62" s="181">
        <f t="shared" si="72"/>
        <v>3929.3310471836658</v>
      </c>
      <c r="U62" s="181">
        <f t="shared" si="72"/>
        <v>392.76356648822775</v>
      </c>
      <c r="V62" s="181">
        <f t="shared" si="72"/>
        <v>196.46655235918328</v>
      </c>
      <c r="W62" s="131"/>
      <c r="X62" s="131"/>
      <c r="Y62" s="130">
        <f>-H62-P62</f>
        <v>-89399.331047183659</v>
      </c>
      <c r="Z62" s="130">
        <f>-I62-Q62</f>
        <v>-8944.7635664882273</v>
      </c>
      <c r="AA62" s="130">
        <f>-J62-R62</f>
        <v>-4474.466552359183</v>
      </c>
      <c r="AB62" s="130" t="e">
        <f>-#REF!-S62</f>
        <v>#REF!</v>
      </c>
      <c r="AC62" s="130">
        <f>AC63+AC69+AC78+AC84</f>
        <v>-1018.5342946136716</v>
      </c>
      <c r="AD62" s="130">
        <f>AD63+AD69+AD78+AD84</f>
        <v>-101.8094829219765</v>
      </c>
      <c r="AE62" s="130">
        <f>AE63+AE69+AE78+AE84</f>
        <v>0</v>
      </c>
      <c r="AF62" s="130">
        <f>AF63+AF69+AF78+AF84</f>
        <v>0</v>
      </c>
      <c r="AK62" s="171"/>
      <c r="AL62" s="171"/>
      <c r="AM62" s="171"/>
      <c r="AN62" s="171"/>
      <c r="AO62" s="171"/>
      <c r="AP62" s="171"/>
      <c r="AQ62" s="171"/>
      <c r="AR62" s="171"/>
      <c r="AS62" s="198"/>
      <c r="AT62" s="205"/>
    </row>
    <row r="63" spans="1:46" s="5" customFormat="1" ht="15.75">
      <c r="A63" s="132">
        <v>1</v>
      </c>
      <c r="B63" s="133" t="s">
        <v>28</v>
      </c>
      <c r="C63" s="133"/>
      <c r="D63" s="133"/>
      <c r="E63" s="133"/>
      <c r="F63" s="133"/>
      <c r="G63" s="193">
        <f>G64+G65+G66</f>
        <v>11966</v>
      </c>
      <c r="H63" s="193">
        <f t="shared" ref="H63:V63" si="73">H64+H65+H66</f>
        <v>10402</v>
      </c>
      <c r="I63" s="193">
        <f t="shared" si="73"/>
        <v>1042</v>
      </c>
      <c r="J63" s="193">
        <f t="shared" si="73"/>
        <v>522</v>
      </c>
      <c r="K63" s="193">
        <f t="shared" si="73"/>
        <v>10439.01</v>
      </c>
      <c r="L63" s="193">
        <f t="shared" si="73"/>
        <v>9340</v>
      </c>
      <c r="M63" s="193">
        <f t="shared" si="73"/>
        <v>934</v>
      </c>
      <c r="N63" s="193">
        <f t="shared" si="73"/>
        <v>165.01</v>
      </c>
      <c r="O63" s="193">
        <f t="shared" si="73"/>
        <v>13080.36838789142</v>
      </c>
      <c r="P63" s="193">
        <f t="shared" si="73"/>
        <v>11371.052347339997</v>
      </c>
      <c r="Q63" s="193">
        <f t="shared" si="73"/>
        <v>1138.8634231844237</v>
      </c>
      <c r="R63" s="193">
        <f t="shared" si="73"/>
        <v>570.4526173669999</v>
      </c>
      <c r="S63" s="193">
        <f t="shared" si="73"/>
        <v>1114.3683878914208</v>
      </c>
      <c r="T63" s="193">
        <f t="shared" si="73"/>
        <v>969.05234733999714</v>
      </c>
      <c r="U63" s="193">
        <f t="shared" si="73"/>
        <v>96.863423184423709</v>
      </c>
      <c r="V63" s="193">
        <f t="shared" si="73"/>
        <v>48.45261736699986</v>
      </c>
      <c r="W63" s="125"/>
      <c r="X63" s="126">
        <f>H63-P63</f>
        <v>-969.05234733999714</v>
      </c>
      <c r="Y63" s="126">
        <f>I63-Q63</f>
        <v>-96.863423184423709</v>
      </c>
      <c r="Z63" s="126">
        <f>J63-R63</f>
        <v>-48.452617366999903</v>
      </c>
      <c r="AA63" s="105"/>
      <c r="AB63" s="105">
        <f>SUM(J64:J65)-J63</f>
        <v>0</v>
      </c>
      <c r="AC63" s="105"/>
      <c r="AD63" s="105"/>
      <c r="AE63" s="105"/>
      <c r="AF63" s="105"/>
      <c r="AK63" s="171"/>
      <c r="AL63" s="171"/>
      <c r="AM63" s="171"/>
      <c r="AN63" s="171"/>
      <c r="AO63" s="171"/>
      <c r="AP63" s="171"/>
      <c r="AQ63" s="171"/>
      <c r="AR63" s="171"/>
      <c r="AS63" s="171"/>
    </row>
    <row r="64" spans="1:46" s="50" customFormat="1" ht="102">
      <c r="A64" s="31" t="s">
        <v>179</v>
      </c>
      <c r="B64" s="32" t="s">
        <v>42</v>
      </c>
      <c r="C64" s="33" t="s">
        <v>251</v>
      </c>
      <c r="D64" s="33" t="s">
        <v>43</v>
      </c>
      <c r="E64" s="33" t="s">
        <v>44</v>
      </c>
      <c r="F64" s="33" t="s">
        <v>45</v>
      </c>
      <c r="G64" s="103">
        <f>H64+I64+J64</f>
        <v>3824</v>
      </c>
      <c r="H64" s="53">
        <v>3323</v>
      </c>
      <c r="I64" s="53">
        <v>333</v>
      </c>
      <c r="J64" s="53">
        <v>168</v>
      </c>
      <c r="K64" s="89">
        <f t="shared" si="6"/>
        <v>3754.01</v>
      </c>
      <c r="L64" s="53">
        <v>3263</v>
      </c>
      <c r="M64" s="53">
        <v>326</v>
      </c>
      <c r="N64" s="53">
        <v>165.01</v>
      </c>
      <c r="O64" s="89">
        <f t="shared" si="7"/>
        <v>3824</v>
      </c>
      <c r="P64" s="92">
        <f t="shared" si="8"/>
        <v>3323</v>
      </c>
      <c r="Q64" s="92">
        <f t="shared" si="9"/>
        <v>333</v>
      </c>
      <c r="R64" s="92">
        <f t="shared" si="10"/>
        <v>168</v>
      </c>
      <c r="S64" s="89">
        <f t="shared" si="11"/>
        <v>0</v>
      </c>
      <c r="T64" s="106"/>
      <c r="U64" s="106"/>
      <c r="V64" s="106"/>
      <c r="W64" s="93"/>
      <c r="X64" s="109"/>
      <c r="Y64" s="37">
        <v>88</v>
      </c>
      <c r="Z64" s="55">
        <f>H64/$G64</f>
        <v>0.86898535564853552</v>
      </c>
      <c r="AA64" s="55">
        <f>I64/$G64</f>
        <v>8.7081589958158997E-2</v>
      </c>
      <c r="AB64" s="55">
        <f>J64/$G64</f>
        <v>4.3933054393305436E-2</v>
      </c>
      <c r="AC64" s="56">
        <f>ROUNDDOWN($Y64*Z64,0)+1</f>
        <v>77</v>
      </c>
      <c r="AD64" s="56">
        <f t="shared" ref="AD64" si="74">ROUNDDOWN($Y64*AA64,0)</f>
        <v>7</v>
      </c>
      <c r="AE64" s="56">
        <f>ROUNDDOWN($Y64*AB64,0)+1</f>
        <v>4</v>
      </c>
      <c r="AF64" s="56">
        <f>Y64-AC64-AD64-AE64</f>
        <v>0</v>
      </c>
      <c r="AK64" s="171"/>
      <c r="AL64" s="171"/>
      <c r="AM64" s="171"/>
      <c r="AN64" s="171"/>
      <c r="AO64" s="171"/>
      <c r="AP64" s="171"/>
      <c r="AQ64" s="171"/>
      <c r="AR64" s="171"/>
      <c r="AS64" s="171"/>
      <c r="AT64" s="202"/>
    </row>
    <row r="65" spans="1:45" s="50" customFormat="1" ht="38.25">
      <c r="A65" s="31" t="s">
        <v>180</v>
      </c>
      <c r="B65" s="32" t="s">
        <v>46</v>
      </c>
      <c r="C65" s="33" t="s">
        <v>251</v>
      </c>
      <c r="D65" s="33" t="s">
        <v>47</v>
      </c>
      <c r="E65" s="33" t="s">
        <v>44</v>
      </c>
      <c r="F65" s="33" t="s">
        <v>48</v>
      </c>
      <c r="G65" s="103">
        <f>H65+I65+J65</f>
        <v>8142</v>
      </c>
      <c r="H65" s="53">
        <v>7079</v>
      </c>
      <c r="I65" s="53">
        <v>709</v>
      </c>
      <c r="J65" s="53">
        <v>354</v>
      </c>
      <c r="K65" s="89">
        <f t="shared" si="6"/>
        <v>6685</v>
      </c>
      <c r="L65" s="53">
        <v>6077</v>
      </c>
      <c r="M65" s="53">
        <v>608</v>
      </c>
      <c r="N65" s="53"/>
      <c r="O65" s="89">
        <f t="shared" si="7"/>
        <v>8142</v>
      </c>
      <c r="P65" s="92">
        <f t="shared" si="8"/>
        <v>7079</v>
      </c>
      <c r="Q65" s="92">
        <f t="shared" si="9"/>
        <v>709</v>
      </c>
      <c r="R65" s="92">
        <f t="shared" si="10"/>
        <v>354</v>
      </c>
      <c r="S65" s="89">
        <f t="shared" si="11"/>
        <v>0</v>
      </c>
      <c r="T65" s="106"/>
      <c r="U65" s="106"/>
      <c r="V65" s="106"/>
      <c r="W65" s="93"/>
      <c r="X65" s="109"/>
      <c r="Y65" s="37"/>
      <c r="Z65" s="55"/>
      <c r="AA65" s="55"/>
      <c r="AB65" s="55"/>
      <c r="AC65" s="56"/>
      <c r="AD65" s="56"/>
      <c r="AE65" s="56"/>
      <c r="AF65" s="56"/>
      <c r="AK65" s="171"/>
      <c r="AL65" s="171"/>
      <c r="AM65" s="171"/>
      <c r="AN65" s="171"/>
      <c r="AO65" s="171"/>
      <c r="AP65" s="171"/>
      <c r="AQ65" s="171"/>
      <c r="AR65" s="171"/>
      <c r="AS65" s="171"/>
    </row>
    <row r="66" spans="1:45" s="183" customFormat="1" ht="15.75">
      <c r="A66" s="192"/>
      <c r="B66" s="191" t="s">
        <v>277</v>
      </c>
      <c r="C66" s="190"/>
      <c r="D66" s="190"/>
      <c r="E66" s="190"/>
      <c r="F66" s="190"/>
      <c r="G66" s="189">
        <f>SUM(G67:G68)</f>
        <v>0</v>
      </c>
      <c r="H66" s="189">
        <f t="shared" ref="H66:V66" si="75">SUM(H67:H68)</f>
        <v>0</v>
      </c>
      <c r="I66" s="189">
        <f t="shared" si="75"/>
        <v>0</v>
      </c>
      <c r="J66" s="189">
        <f t="shared" si="75"/>
        <v>0</v>
      </c>
      <c r="K66" s="189">
        <f t="shared" si="75"/>
        <v>0</v>
      </c>
      <c r="L66" s="189">
        <f t="shared" si="75"/>
        <v>0</v>
      </c>
      <c r="M66" s="189">
        <f t="shared" si="75"/>
        <v>0</v>
      </c>
      <c r="N66" s="189">
        <f t="shared" si="75"/>
        <v>0</v>
      </c>
      <c r="O66" s="189">
        <v>1114.3683878914208</v>
      </c>
      <c r="P66" s="189">
        <v>969.05234733999714</v>
      </c>
      <c r="Q66" s="189">
        <v>96.863423184423709</v>
      </c>
      <c r="R66" s="189">
        <v>48.45261736699986</v>
      </c>
      <c r="S66" s="189">
        <f t="shared" si="75"/>
        <v>1114.3683878914208</v>
      </c>
      <c r="T66" s="189">
        <f t="shared" si="75"/>
        <v>969.05234733999714</v>
      </c>
      <c r="U66" s="189">
        <f t="shared" si="75"/>
        <v>96.863423184423709</v>
      </c>
      <c r="V66" s="189">
        <f t="shared" si="75"/>
        <v>48.45261736699986</v>
      </c>
      <c r="W66" s="188"/>
      <c r="X66" s="187"/>
      <c r="Y66" s="186"/>
      <c r="Z66" s="185"/>
      <c r="AA66" s="185"/>
      <c r="AB66" s="185"/>
      <c r="AC66" s="184"/>
      <c r="AD66" s="184"/>
      <c r="AE66" s="184"/>
      <c r="AF66" s="184"/>
    </row>
    <row r="67" spans="1:45" s="50" customFormat="1" ht="25.5">
      <c r="A67" s="153"/>
      <c r="B67" s="154" t="s">
        <v>370</v>
      </c>
      <c r="C67" s="155" t="s">
        <v>303</v>
      </c>
      <c r="D67" s="155" t="s">
        <v>371</v>
      </c>
      <c r="E67" s="155" t="s">
        <v>44</v>
      </c>
      <c r="F67" s="155" t="s">
        <v>358</v>
      </c>
      <c r="G67" s="156">
        <f>H67+I67+J67</f>
        <v>0</v>
      </c>
      <c r="H67" s="157"/>
      <c r="I67" s="157"/>
      <c r="J67" s="157"/>
      <c r="K67" s="196">
        <f t="shared" ref="K67:K68" si="76">L67+M67+N67</f>
        <v>0</v>
      </c>
      <c r="L67" s="157"/>
      <c r="M67" s="157"/>
      <c r="N67" s="157"/>
      <c r="O67" s="196">
        <f>P67+Q67+R67</f>
        <v>800</v>
      </c>
      <c r="P67" s="174">
        <v>696</v>
      </c>
      <c r="Q67" s="174">
        <v>70</v>
      </c>
      <c r="R67" s="174">
        <v>34</v>
      </c>
      <c r="S67" s="196">
        <f>T67+U67+V67</f>
        <v>800</v>
      </c>
      <c r="T67" s="160">
        <f>P67</f>
        <v>696</v>
      </c>
      <c r="U67" s="160">
        <f t="shared" ref="U67:V67" si="77">Q67</f>
        <v>70</v>
      </c>
      <c r="V67" s="160">
        <f t="shared" si="77"/>
        <v>34</v>
      </c>
      <c r="W67" s="161" t="s">
        <v>368</v>
      </c>
      <c r="X67" s="162"/>
      <c r="Y67" s="163">
        <v>88</v>
      </c>
      <c r="Z67" s="164" t="e">
        <f>H67/$G67</f>
        <v>#DIV/0!</v>
      </c>
      <c r="AA67" s="164" t="e">
        <f>I67/$G67</f>
        <v>#DIV/0!</v>
      </c>
      <c r="AB67" s="164" t="e">
        <f>J67/$G67</f>
        <v>#DIV/0!</v>
      </c>
      <c r="AC67" s="50" t="e">
        <f>ROUNDDOWN($Y67*Z67,0)+1</f>
        <v>#DIV/0!</v>
      </c>
      <c r="AD67" s="50" t="e">
        <f t="shared" ref="AD67" si="78">ROUNDDOWN($Y67*AA67,0)</f>
        <v>#DIV/0!</v>
      </c>
      <c r="AE67" s="50" t="e">
        <f>ROUNDDOWN($Y67*AB67,0)+1</f>
        <v>#DIV/0!</v>
      </c>
      <c r="AF67" s="50" t="e">
        <f>Y67-AC67-AD67-AE67</f>
        <v>#DIV/0!</v>
      </c>
      <c r="AK67" s="171"/>
      <c r="AL67" s="171"/>
      <c r="AM67" s="171"/>
      <c r="AN67" s="171"/>
      <c r="AO67" s="171"/>
      <c r="AP67" s="171"/>
      <c r="AQ67" s="171"/>
      <c r="AR67" s="171"/>
      <c r="AS67" s="171"/>
    </row>
    <row r="68" spans="1:45" s="50" customFormat="1" ht="25.5">
      <c r="A68" s="153"/>
      <c r="B68" s="154" t="s">
        <v>372</v>
      </c>
      <c r="C68" s="155" t="s">
        <v>303</v>
      </c>
      <c r="D68" s="155" t="s">
        <v>378</v>
      </c>
      <c r="E68" s="155" t="s">
        <v>44</v>
      </c>
      <c r="F68" s="155" t="s">
        <v>358</v>
      </c>
      <c r="G68" s="156">
        <f>H68+I68+J68</f>
        <v>0</v>
      </c>
      <c r="H68" s="157"/>
      <c r="I68" s="157"/>
      <c r="J68" s="157"/>
      <c r="K68" s="196">
        <f t="shared" si="76"/>
        <v>0</v>
      </c>
      <c r="L68" s="157"/>
      <c r="M68" s="157"/>
      <c r="N68" s="157"/>
      <c r="O68" s="196">
        <f>O66-O67</f>
        <v>314.36838789142075</v>
      </c>
      <c r="P68" s="174">
        <f>P66-P67</f>
        <v>273.05234733999714</v>
      </c>
      <c r="Q68" s="174">
        <f t="shared" ref="Q68:R68" si="79">Q66-Q67</f>
        <v>26.863423184423709</v>
      </c>
      <c r="R68" s="174">
        <f t="shared" si="79"/>
        <v>14.45261736699986</v>
      </c>
      <c r="S68" s="196">
        <f t="shared" ref="S68" si="80">T68+U68+V68</f>
        <v>314.3683878914207</v>
      </c>
      <c r="T68" s="160">
        <f>P68</f>
        <v>273.05234733999714</v>
      </c>
      <c r="U68" s="160">
        <f t="shared" ref="U68" si="81">Q68</f>
        <v>26.863423184423709</v>
      </c>
      <c r="V68" s="160">
        <f t="shared" ref="V68" si="82">R68</f>
        <v>14.45261736699986</v>
      </c>
      <c r="W68" s="161" t="s">
        <v>368</v>
      </c>
      <c r="X68" s="162">
        <f>1840</f>
        <v>1840</v>
      </c>
      <c r="Y68" s="163">
        <v>1</v>
      </c>
      <c r="Z68" s="164"/>
      <c r="AA68" s="164"/>
      <c r="AB68" s="164"/>
      <c r="AK68" s="171"/>
      <c r="AL68" s="171"/>
      <c r="AM68" s="171"/>
      <c r="AN68" s="171"/>
      <c r="AO68" s="171"/>
      <c r="AP68" s="171"/>
      <c r="AQ68" s="171"/>
      <c r="AR68" s="171"/>
      <c r="AS68" s="171"/>
    </row>
    <row r="69" spans="1:45" s="5" customFormat="1" ht="15.75">
      <c r="A69" s="132">
        <v>2</v>
      </c>
      <c r="B69" s="133" t="s">
        <v>26</v>
      </c>
      <c r="C69" s="133"/>
      <c r="D69" s="133"/>
      <c r="E69" s="133"/>
      <c r="F69" s="133"/>
      <c r="G69" s="193">
        <f>SUM(G70:G76)</f>
        <v>11866</v>
      </c>
      <c r="H69" s="193">
        <f t="shared" ref="H69:V69" si="83">SUM(H70:H76)</f>
        <v>10318</v>
      </c>
      <c r="I69" s="193">
        <f t="shared" si="83"/>
        <v>1032</v>
      </c>
      <c r="J69" s="193">
        <f t="shared" si="83"/>
        <v>516</v>
      </c>
      <c r="K69" s="193">
        <f t="shared" si="83"/>
        <v>3385.4880000000003</v>
      </c>
      <c r="L69" s="193">
        <f t="shared" si="83"/>
        <v>3019</v>
      </c>
      <c r="M69" s="193">
        <f t="shared" si="83"/>
        <v>301</v>
      </c>
      <c r="N69" s="193">
        <f t="shared" si="83"/>
        <v>65.488</v>
      </c>
      <c r="O69" s="193">
        <f t="shared" si="83"/>
        <v>12962.584704746791</v>
      </c>
      <c r="P69" s="193">
        <f t="shared" si="83"/>
        <v>11271.587694822114</v>
      </c>
      <c r="Q69" s="193">
        <f t="shared" si="83"/>
        <v>1127.317625183571</v>
      </c>
      <c r="R69" s="193">
        <f t="shared" si="83"/>
        <v>563.67938474110565</v>
      </c>
      <c r="S69" s="193">
        <f t="shared" si="83"/>
        <v>1096.5847047467905</v>
      </c>
      <c r="T69" s="193">
        <f t="shared" si="83"/>
        <v>953.5876948221138</v>
      </c>
      <c r="U69" s="193">
        <f t="shared" si="83"/>
        <v>95.317625183570982</v>
      </c>
      <c r="V69" s="193">
        <f t="shared" si="83"/>
        <v>47.679384741105693</v>
      </c>
      <c r="W69" s="125"/>
      <c r="X69" s="126">
        <v>314</v>
      </c>
      <c r="Y69" s="126">
        <f>X69/X68</f>
        <v>0.17065217391304346</v>
      </c>
      <c r="Z69" s="126">
        <f>J69-R69</f>
        <v>-47.67938474110565</v>
      </c>
      <c r="AA69" s="105"/>
      <c r="AB69" s="105">
        <f>SUM(J70:J74)-J69</f>
        <v>-25</v>
      </c>
      <c r="AC69" s="105"/>
      <c r="AD69" s="105"/>
      <c r="AE69" s="105"/>
      <c r="AF69" s="105"/>
      <c r="AK69" s="171"/>
      <c r="AL69" s="171"/>
      <c r="AM69" s="171"/>
      <c r="AN69" s="171"/>
      <c r="AO69" s="171"/>
      <c r="AP69" s="171"/>
      <c r="AQ69" s="171"/>
      <c r="AR69" s="171"/>
      <c r="AS69" s="171"/>
    </row>
    <row r="70" spans="1:45" s="50" customFormat="1" ht="38.25">
      <c r="A70" s="31" t="s">
        <v>181</v>
      </c>
      <c r="B70" s="32" t="s">
        <v>50</v>
      </c>
      <c r="C70" s="33" t="s">
        <v>251</v>
      </c>
      <c r="D70" s="33" t="s">
        <v>54</v>
      </c>
      <c r="E70" s="33" t="s">
        <v>55</v>
      </c>
      <c r="F70" s="33" t="s">
        <v>45</v>
      </c>
      <c r="G70" s="103">
        <f t="shared" ref="G70:G90" si="84">H70+I70+J70</f>
        <v>1548</v>
      </c>
      <c r="H70" s="53">
        <v>1346</v>
      </c>
      <c r="I70" s="53">
        <v>135</v>
      </c>
      <c r="J70" s="53">
        <v>67</v>
      </c>
      <c r="K70" s="89">
        <f t="shared" si="6"/>
        <v>1536.4880000000001</v>
      </c>
      <c r="L70" s="53">
        <v>1337</v>
      </c>
      <c r="M70" s="53">
        <v>134</v>
      </c>
      <c r="N70" s="53">
        <v>65.488</v>
      </c>
      <c r="O70" s="89">
        <f t="shared" si="7"/>
        <v>1548</v>
      </c>
      <c r="P70" s="92">
        <f t="shared" si="8"/>
        <v>1346</v>
      </c>
      <c r="Q70" s="92">
        <f t="shared" si="9"/>
        <v>135</v>
      </c>
      <c r="R70" s="92">
        <f t="shared" si="10"/>
        <v>67</v>
      </c>
      <c r="S70" s="89">
        <f t="shared" si="11"/>
        <v>0</v>
      </c>
      <c r="T70" s="106"/>
      <c r="U70" s="106"/>
      <c r="V70" s="106"/>
      <c r="W70" s="93"/>
      <c r="X70" s="109"/>
      <c r="Y70" s="37">
        <v>4</v>
      </c>
      <c r="Z70" s="55">
        <f>H70/$G70</f>
        <v>0.86950904392764861</v>
      </c>
      <c r="AA70" s="55">
        <f>I70/$G70</f>
        <v>8.7209302325581398E-2</v>
      </c>
      <c r="AB70" s="55">
        <f>J70/$G70</f>
        <v>4.3281653746770024E-2</v>
      </c>
      <c r="AC70" s="56">
        <f>ROUNDDOWN($Y70*Z70,0)+1</f>
        <v>4</v>
      </c>
      <c r="AD70" s="56">
        <f t="shared" ref="AD70" si="85">ROUNDDOWN($Y70*AA70,0)</f>
        <v>0</v>
      </c>
      <c r="AE70" s="56">
        <f>ROUNDDOWN($Y70*AB70,0)</f>
        <v>0</v>
      </c>
      <c r="AF70" s="56">
        <f>Y70-AC70-AD70-AE70</f>
        <v>0</v>
      </c>
      <c r="AK70" s="171"/>
      <c r="AL70" s="171"/>
      <c r="AM70" s="171"/>
      <c r="AN70" s="171"/>
      <c r="AO70" s="171"/>
      <c r="AP70" s="171"/>
      <c r="AQ70" s="171"/>
      <c r="AR70" s="171"/>
      <c r="AS70" s="171"/>
    </row>
    <row r="71" spans="1:45" s="50" customFormat="1" ht="25.5">
      <c r="A71" s="31" t="s">
        <v>182</v>
      </c>
      <c r="B71" s="32" t="s">
        <v>51</v>
      </c>
      <c r="C71" s="33" t="s">
        <v>59</v>
      </c>
      <c r="D71" s="135" t="s">
        <v>275</v>
      </c>
      <c r="E71" s="33" t="s">
        <v>55</v>
      </c>
      <c r="F71" s="53" t="s">
        <v>49</v>
      </c>
      <c r="G71" s="103">
        <f t="shared" si="84"/>
        <v>1491</v>
      </c>
      <c r="H71" s="53">
        <v>1296</v>
      </c>
      <c r="I71" s="53">
        <v>129</v>
      </c>
      <c r="J71" s="53">
        <v>66</v>
      </c>
      <c r="K71" s="89">
        <f t="shared" si="6"/>
        <v>641</v>
      </c>
      <c r="L71" s="53">
        <v>583</v>
      </c>
      <c r="M71" s="53">
        <v>58</v>
      </c>
      <c r="N71" s="53"/>
      <c r="O71" s="89">
        <f t="shared" si="7"/>
        <v>1491</v>
      </c>
      <c r="P71" s="92">
        <f t="shared" si="8"/>
        <v>1296</v>
      </c>
      <c r="Q71" s="92">
        <f t="shared" si="9"/>
        <v>129</v>
      </c>
      <c r="R71" s="92">
        <f t="shared" si="10"/>
        <v>66</v>
      </c>
      <c r="S71" s="89">
        <f t="shared" si="11"/>
        <v>0</v>
      </c>
      <c r="T71" s="106"/>
      <c r="U71" s="106"/>
      <c r="V71" s="106"/>
      <c r="W71" s="93"/>
      <c r="X71" s="109"/>
      <c r="Y71" s="37"/>
      <c r="Z71" s="55"/>
      <c r="AA71" s="55"/>
      <c r="AB71" s="55"/>
      <c r="AC71" s="56"/>
      <c r="AD71" s="56"/>
      <c r="AE71" s="56"/>
      <c r="AF71" s="56"/>
      <c r="AK71" s="171"/>
      <c r="AL71" s="171"/>
      <c r="AM71" s="171"/>
      <c r="AN71" s="171"/>
      <c r="AO71" s="171"/>
      <c r="AP71" s="171"/>
      <c r="AQ71" s="171"/>
      <c r="AR71" s="171"/>
      <c r="AS71" s="171"/>
    </row>
    <row r="72" spans="1:45" s="50" customFormat="1" ht="25.5">
      <c r="A72" s="31" t="s">
        <v>183</v>
      </c>
      <c r="B72" s="32" t="s">
        <v>52</v>
      </c>
      <c r="C72" s="33" t="s">
        <v>59</v>
      </c>
      <c r="D72" s="135" t="s">
        <v>56</v>
      </c>
      <c r="E72" s="33" t="s">
        <v>55</v>
      </c>
      <c r="F72" s="53" t="s">
        <v>49</v>
      </c>
      <c r="G72" s="103">
        <f t="shared" si="84"/>
        <v>1272</v>
      </c>
      <c r="H72" s="53">
        <v>1105</v>
      </c>
      <c r="I72" s="53">
        <v>111</v>
      </c>
      <c r="J72" s="53">
        <v>56</v>
      </c>
      <c r="K72" s="89">
        <f t="shared" si="6"/>
        <v>546</v>
      </c>
      <c r="L72" s="53">
        <v>497</v>
      </c>
      <c r="M72" s="53">
        <v>49</v>
      </c>
      <c r="N72" s="53"/>
      <c r="O72" s="89">
        <f t="shared" si="7"/>
        <v>1272</v>
      </c>
      <c r="P72" s="92">
        <f t="shared" si="8"/>
        <v>1105</v>
      </c>
      <c r="Q72" s="92">
        <f t="shared" si="9"/>
        <v>111</v>
      </c>
      <c r="R72" s="92">
        <f t="shared" si="10"/>
        <v>56</v>
      </c>
      <c r="S72" s="89">
        <f t="shared" si="11"/>
        <v>0</v>
      </c>
      <c r="T72" s="106"/>
      <c r="U72" s="106"/>
      <c r="V72" s="106"/>
      <c r="W72" s="93"/>
      <c r="X72" s="109"/>
      <c r="Y72" s="37"/>
      <c r="Z72" s="55"/>
      <c r="AA72" s="55"/>
      <c r="AB72" s="55"/>
      <c r="AC72" s="56"/>
      <c r="AD72" s="56"/>
      <c r="AE72" s="56"/>
      <c r="AF72" s="56"/>
      <c r="AK72" s="171"/>
      <c r="AL72" s="171"/>
      <c r="AM72" s="171"/>
      <c r="AN72" s="171"/>
      <c r="AO72" s="171"/>
      <c r="AP72" s="171"/>
      <c r="AQ72" s="171"/>
      <c r="AR72" s="171"/>
      <c r="AS72" s="171"/>
    </row>
    <row r="73" spans="1:45" s="50" customFormat="1" ht="38.25">
      <c r="A73" s="31" t="s">
        <v>184</v>
      </c>
      <c r="B73" s="32" t="s">
        <v>53</v>
      </c>
      <c r="C73" s="33" t="s">
        <v>59</v>
      </c>
      <c r="D73" s="135" t="s">
        <v>73</v>
      </c>
      <c r="E73" s="33" t="s">
        <v>55</v>
      </c>
      <c r="F73" s="53" t="s">
        <v>49</v>
      </c>
      <c r="G73" s="103">
        <f t="shared" si="84"/>
        <v>920</v>
      </c>
      <c r="H73" s="53">
        <v>800</v>
      </c>
      <c r="I73" s="53">
        <v>80</v>
      </c>
      <c r="J73" s="53">
        <v>40</v>
      </c>
      <c r="K73" s="89">
        <f t="shared" si="6"/>
        <v>396</v>
      </c>
      <c r="L73" s="53">
        <v>360</v>
      </c>
      <c r="M73" s="53">
        <v>36</v>
      </c>
      <c r="N73" s="53"/>
      <c r="O73" s="89">
        <f t="shared" si="7"/>
        <v>920</v>
      </c>
      <c r="P73" s="92">
        <f t="shared" si="8"/>
        <v>800</v>
      </c>
      <c r="Q73" s="92">
        <f t="shared" si="9"/>
        <v>80</v>
      </c>
      <c r="R73" s="92">
        <f t="shared" si="10"/>
        <v>40</v>
      </c>
      <c r="S73" s="89">
        <f t="shared" si="11"/>
        <v>0</v>
      </c>
      <c r="T73" s="106"/>
      <c r="U73" s="106"/>
      <c r="V73" s="106"/>
      <c r="W73" s="93"/>
      <c r="X73" s="109"/>
      <c r="Y73" s="37"/>
      <c r="Z73" s="55"/>
      <c r="AA73" s="55"/>
      <c r="AB73" s="55"/>
      <c r="AC73" s="56"/>
      <c r="AD73" s="56"/>
      <c r="AE73" s="56"/>
      <c r="AF73" s="56"/>
      <c r="AK73" s="171"/>
      <c r="AL73" s="171"/>
      <c r="AM73" s="171"/>
      <c r="AN73" s="171"/>
      <c r="AO73" s="171"/>
      <c r="AP73" s="171"/>
      <c r="AQ73" s="171"/>
      <c r="AR73" s="171"/>
      <c r="AS73" s="171"/>
    </row>
    <row r="74" spans="1:45" s="50" customFormat="1" ht="38.25">
      <c r="A74" s="31" t="s">
        <v>185</v>
      </c>
      <c r="B74" s="32" t="s">
        <v>57</v>
      </c>
      <c r="C74" s="33" t="s">
        <v>251</v>
      </c>
      <c r="D74" s="135" t="s">
        <v>58</v>
      </c>
      <c r="E74" s="33" t="s">
        <v>55</v>
      </c>
      <c r="F74" s="53" t="s">
        <v>49</v>
      </c>
      <c r="G74" s="103">
        <f t="shared" si="84"/>
        <v>6017</v>
      </c>
      <c r="H74" s="53">
        <v>5232</v>
      </c>
      <c r="I74" s="53">
        <v>523</v>
      </c>
      <c r="J74" s="53">
        <v>262</v>
      </c>
      <c r="K74" s="89">
        <f t="shared" si="6"/>
        <v>0</v>
      </c>
      <c r="L74" s="53"/>
      <c r="M74" s="53"/>
      <c r="N74" s="53"/>
      <c r="O74" s="89">
        <f t="shared" si="7"/>
        <v>6017</v>
      </c>
      <c r="P74" s="92">
        <f t="shared" si="8"/>
        <v>5232</v>
      </c>
      <c r="Q74" s="92">
        <f t="shared" si="9"/>
        <v>523</v>
      </c>
      <c r="R74" s="92">
        <f t="shared" si="10"/>
        <v>262</v>
      </c>
      <c r="S74" s="89">
        <f t="shared" si="11"/>
        <v>0</v>
      </c>
      <c r="T74" s="106"/>
      <c r="U74" s="106"/>
      <c r="V74" s="106"/>
      <c r="W74" s="93"/>
      <c r="X74" s="109"/>
      <c r="Y74" s="37"/>
      <c r="Z74" s="55"/>
      <c r="AA74" s="55"/>
      <c r="AB74" s="55"/>
      <c r="AC74" s="56"/>
      <c r="AD74" s="56"/>
      <c r="AE74" s="56"/>
      <c r="AF74" s="56"/>
      <c r="AK74" s="171"/>
      <c r="AL74" s="171"/>
      <c r="AM74" s="171"/>
      <c r="AN74" s="171"/>
      <c r="AO74" s="171"/>
      <c r="AP74" s="171"/>
      <c r="AQ74" s="171"/>
      <c r="AR74" s="171"/>
      <c r="AS74" s="171"/>
    </row>
    <row r="75" spans="1:45" s="50" customFormat="1" ht="25.5">
      <c r="A75" s="31" t="s">
        <v>280</v>
      </c>
      <c r="B75" s="32" t="s">
        <v>276</v>
      </c>
      <c r="C75" s="135" t="s">
        <v>59</v>
      </c>
      <c r="D75" s="135" t="s">
        <v>278</v>
      </c>
      <c r="E75" s="33" t="s">
        <v>55</v>
      </c>
      <c r="F75" s="53" t="s">
        <v>49</v>
      </c>
      <c r="G75" s="103">
        <f t="shared" si="84"/>
        <v>618</v>
      </c>
      <c r="H75" s="53">
        <v>539</v>
      </c>
      <c r="I75" s="53">
        <v>54</v>
      </c>
      <c r="J75" s="53">
        <v>25</v>
      </c>
      <c r="K75" s="89">
        <f t="shared" si="6"/>
        <v>266</v>
      </c>
      <c r="L75" s="53">
        <v>242</v>
      </c>
      <c r="M75" s="53">
        <v>24</v>
      </c>
      <c r="N75" s="53"/>
      <c r="O75" s="89">
        <f t="shared" si="7"/>
        <v>618</v>
      </c>
      <c r="P75" s="92">
        <f t="shared" si="8"/>
        <v>539</v>
      </c>
      <c r="Q75" s="92">
        <f t="shared" si="9"/>
        <v>54</v>
      </c>
      <c r="R75" s="92">
        <f t="shared" si="10"/>
        <v>25</v>
      </c>
      <c r="S75" s="89">
        <f t="shared" si="11"/>
        <v>0</v>
      </c>
      <c r="T75" s="106"/>
      <c r="U75" s="106"/>
      <c r="V75" s="106"/>
      <c r="W75" s="93"/>
      <c r="X75" s="109"/>
      <c r="Y75" s="37"/>
      <c r="Z75" s="55"/>
      <c r="AA75" s="55"/>
      <c r="AB75" s="55"/>
      <c r="AC75" s="56"/>
      <c r="AD75" s="56"/>
      <c r="AE75" s="56"/>
      <c r="AF75" s="56"/>
      <c r="AK75" s="171"/>
      <c r="AL75" s="171"/>
      <c r="AM75" s="171"/>
      <c r="AN75" s="171"/>
      <c r="AO75" s="171"/>
      <c r="AP75" s="171"/>
      <c r="AQ75" s="171"/>
      <c r="AR75" s="171"/>
      <c r="AS75" s="171"/>
    </row>
    <row r="76" spans="1:45" s="183" customFormat="1" ht="15.75">
      <c r="A76" s="192"/>
      <c r="B76" s="191" t="s">
        <v>277</v>
      </c>
      <c r="C76" s="190"/>
      <c r="D76" s="190"/>
      <c r="E76" s="190"/>
      <c r="F76" s="190"/>
      <c r="G76" s="189">
        <f t="shared" ref="G76:V76" si="86">SUM(G77:G77)</f>
        <v>0</v>
      </c>
      <c r="H76" s="189">
        <f t="shared" si="86"/>
        <v>0</v>
      </c>
      <c r="I76" s="189">
        <f t="shared" si="86"/>
        <v>0</v>
      </c>
      <c r="J76" s="189">
        <f t="shared" si="86"/>
        <v>0</v>
      </c>
      <c r="K76" s="189">
        <f t="shared" si="86"/>
        <v>0</v>
      </c>
      <c r="L76" s="189">
        <f t="shared" si="86"/>
        <v>0</v>
      </c>
      <c r="M76" s="189">
        <f t="shared" si="86"/>
        <v>0</v>
      </c>
      <c r="N76" s="189">
        <f t="shared" si="86"/>
        <v>0</v>
      </c>
      <c r="O76" s="189">
        <f t="shared" si="86"/>
        <v>1096.5847047467905</v>
      </c>
      <c r="P76" s="189">
        <f t="shared" si="86"/>
        <v>953.5876948221138</v>
      </c>
      <c r="Q76" s="189">
        <f t="shared" si="86"/>
        <v>95.317625183570982</v>
      </c>
      <c r="R76" s="189">
        <f t="shared" si="86"/>
        <v>47.679384741105693</v>
      </c>
      <c r="S76" s="189">
        <f t="shared" si="86"/>
        <v>1096.5847047467905</v>
      </c>
      <c r="T76" s="189">
        <f t="shared" si="86"/>
        <v>953.5876948221138</v>
      </c>
      <c r="U76" s="189">
        <f t="shared" si="86"/>
        <v>95.317625183570982</v>
      </c>
      <c r="V76" s="189">
        <f t="shared" si="86"/>
        <v>47.679384741105693</v>
      </c>
      <c r="W76" s="188"/>
      <c r="X76" s="187"/>
      <c r="Y76" s="186"/>
      <c r="Z76" s="185"/>
      <c r="AA76" s="185"/>
      <c r="AB76" s="185"/>
      <c r="AC76" s="184"/>
      <c r="AD76" s="184"/>
      <c r="AE76" s="184"/>
      <c r="AF76" s="184"/>
    </row>
    <row r="77" spans="1:45" s="50" customFormat="1" ht="38.25">
      <c r="A77" s="31"/>
      <c r="B77" s="32" t="s">
        <v>373</v>
      </c>
      <c r="C77" s="135" t="s">
        <v>59</v>
      </c>
      <c r="D77" s="135" t="s">
        <v>374</v>
      </c>
      <c r="E77" s="33" t="s">
        <v>55</v>
      </c>
      <c r="F77" s="53" t="s">
        <v>358</v>
      </c>
      <c r="G77" s="103">
        <f>H77+I77+J77</f>
        <v>0</v>
      </c>
      <c r="H77" s="53"/>
      <c r="I77" s="53"/>
      <c r="J77" s="53"/>
      <c r="K77" s="89">
        <f t="shared" ref="K77" si="87">L77+M77+N77</f>
        <v>0</v>
      </c>
      <c r="L77" s="53"/>
      <c r="M77" s="53"/>
      <c r="N77" s="53"/>
      <c r="O77" s="89">
        <f t="shared" ref="O77" si="88">P77+Q77+R77</f>
        <v>1096.5847047467905</v>
      </c>
      <c r="P77" s="92">
        <v>953.5876948221138</v>
      </c>
      <c r="Q77" s="92">
        <v>95.317625183570982</v>
      </c>
      <c r="R77" s="92">
        <v>47.679384741105693</v>
      </c>
      <c r="S77" s="89">
        <f t="shared" ref="S77" si="89">T77+U77+V77</f>
        <v>1096.5847047467905</v>
      </c>
      <c r="T77" s="106">
        <f>P77</f>
        <v>953.5876948221138</v>
      </c>
      <c r="U77" s="106">
        <f t="shared" ref="U77" si="90">Q77</f>
        <v>95.317625183570982</v>
      </c>
      <c r="V77" s="106">
        <f t="shared" ref="V77" si="91">R77</f>
        <v>47.679384741105693</v>
      </c>
      <c r="W77" s="93" t="s">
        <v>368</v>
      </c>
      <c r="X77" s="109"/>
      <c r="Y77" s="37">
        <v>88</v>
      </c>
      <c r="Z77" s="55" t="e">
        <f>H77/$G77</f>
        <v>#DIV/0!</v>
      </c>
      <c r="AA77" s="55" t="e">
        <f>I77/$G77</f>
        <v>#DIV/0!</v>
      </c>
      <c r="AB77" s="55" t="e">
        <f>J77/$G77</f>
        <v>#DIV/0!</v>
      </c>
      <c r="AC77" s="56" t="e">
        <f>ROUNDDOWN($Y77*Z77,0)+1</f>
        <v>#DIV/0!</v>
      </c>
      <c r="AD77" s="56" t="e">
        <f t="shared" ref="AD77" si="92">ROUNDDOWN($Y77*AA77,0)</f>
        <v>#DIV/0!</v>
      </c>
      <c r="AE77" s="56" t="e">
        <f>ROUNDDOWN($Y77*AB77,0)+1</f>
        <v>#DIV/0!</v>
      </c>
      <c r="AF77" s="56" t="e">
        <f>Y77-AC77-AD77-AE77</f>
        <v>#DIV/0!</v>
      </c>
      <c r="AK77" s="171"/>
      <c r="AL77" s="171"/>
      <c r="AM77" s="171"/>
      <c r="AN77" s="171"/>
      <c r="AO77" s="171"/>
      <c r="AP77" s="171"/>
      <c r="AQ77" s="171"/>
      <c r="AR77" s="171"/>
      <c r="AS77" s="171"/>
    </row>
    <row r="78" spans="1:45" s="5" customFormat="1" ht="15.75">
      <c r="A78" s="132">
        <v>3</v>
      </c>
      <c r="B78" s="133" t="s">
        <v>34</v>
      </c>
      <c r="C78" s="133"/>
      <c r="D78" s="133"/>
      <c r="E78" s="133"/>
      <c r="F78" s="133"/>
      <c r="G78" s="193">
        <f>SUM(G79:G82)</f>
        <v>12948</v>
      </c>
      <c r="H78" s="193">
        <f t="shared" ref="H78:V78" si="93">SUM(H79:H82)</f>
        <v>11259</v>
      </c>
      <c r="I78" s="193">
        <f t="shared" si="93"/>
        <v>1126</v>
      </c>
      <c r="J78" s="193">
        <f t="shared" si="93"/>
        <v>563</v>
      </c>
      <c r="K78" s="193">
        <f t="shared" si="93"/>
        <v>10529</v>
      </c>
      <c r="L78" s="193">
        <f t="shared" si="93"/>
        <v>9572</v>
      </c>
      <c r="M78" s="193">
        <f t="shared" si="93"/>
        <v>957</v>
      </c>
      <c r="N78" s="193">
        <f t="shared" si="93"/>
        <v>0</v>
      </c>
      <c r="O78" s="193">
        <f t="shared" si="93"/>
        <v>14119.270492266332</v>
      </c>
      <c r="P78" s="193">
        <f t="shared" si="93"/>
        <v>12277.534294613672</v>
      </c>
      <c r="Q78" s="193">
        <f t="shared" si="93"/>
        <v>1227.8094829219765</v>
      </c>
      <c r="R78" s="193">
        <f t="shared" si="93"/>
        <v>613.92671473068356</v>
      </c>
      <c r="S78" s="193">
        <f t="shared" si="93"/>
        <v>1171.270492266332</v>
      </c>
      <c r="T78" s="193">
        <f t="shared" si="93"/>
        <v>1018.5342946136718</v>
      </c>
      <c r="U78" s="193">
        <f t="shared" si="93"/>
        <v>101.8094829219764</v>
      </c>
      <c r="V78" s="193">
        <f t="shared" si="93"/>
        <v>50.926714730683592</v>
      </c>
      <c r="W78" s="125"/>
      <c r="X78" s="126">
        <f>H78-P78</f>
        <v>-1018.5342946136716</v>
      </c>
      <c r="Y78" s="126">
        <f>I78-Q78</f>
        <v>-101.8094829219765</v>
      </c>
      <c r="Z78" s="126">
        <f>J78-R78</f>
        <v>-50.926714730683557</v>
      </c>
      <c r="AA78" s="105"/>
      <c r="AB78" s="105">
        <f>SUM(O79:O81)-O78</f>
        <v>-1171.2704922663324</v>
      </c>
      <c r="AC78" s="105">
        <f>SUM(P79:P81)-P78</f>
        <v>-1018.5342946136716</v>
      </c>
      <c r="AD78" s="105">
        <f>SUM(Q79:Q81)-Q78</f>
        <v>-101.8094829219765</v>
      </c>
      <c r="AE78" s="105"/>
      <c r="AF78" s="105"/>
      <c r="AK78" s="171"/>
      <c r="AL78" s="171"/>
      <c r="AM78" s="171"/>
      <c r="AN78" s="171"/>
      <c r="AO78" s="171"/>
      <c r="AP78" s="171"/>
      <c r="AQ78" s="171"/>
      <c r="AR78" s="171"/>
      <c r="AS78" s="171"/>
    </row>
    <row r="79" spans="1:45" s="50" customFormat="1" ht="38.25">
      <c r="A79" s="31" t="s">
        <v>186</v>
      </c>
      <c r="B79" s="32" t="s">
        <v>60</v>
      </c>
      <c r="C79" s="33" t="s">
        <v>251</v>
      </c>
      <c r="D79" s="33" t="s">
        <v>47</v>
      </c>
      <c r="E79" s="33" t="s">
        <v>61</v>
      </c>
      <c r="F79" s="33" t="s">
        <v>62</v>
      </c>
      <c r="G79" s="103">
        <f t="shared" si="84"/>
        <v>10350</v>
      </c>
      <c r="H79" s="53">
        <v>9000</v>
      </c>
      <c r="I79" s="53">
        <v>900</v>
      </c>
      <c r="J79" s="53">
        <v>450</v>
      </c>
      <c r="K79" s="89">
        <f t="shared" si="6"/>
        <v>9412</v>
      </c>
      <c r="L79" s="53">
        <v>8556</v>
      </c>
      <c r="M79" s="53">
        <v>856</v>
      </c>
      <c r="N79" s="53"/>
      <c r="O79" s="89">
        <f t="shared" si="7"/>
        <v>10350</v>
      </c>
      <c r="P79" s="92">
        <f t="shared" si="8"/>
        <v>9000</v>
      </c>
      <c r="Q79" s="92">
        <f t="shared" si="9"/>
        <v>900</v>
      </c>
      <c r="R79" s="92">
        <f t="shared" si="10"/>
        <v>450</v>
      </c>
      <c r="S79" s="89">
        <f t="shared" si="11"/>
        <v>0</v>
      </c>
      <c r="T79" s="106"/>
      <c r="U79" s="106"/>
      <c r="V79" s="106"/>
      <c r="W79" s="93"/>
      <c r="X79" s="109"/>
      <c r="Y79" s="37"/>
      <c r="Z79" s="55"/>
      <c r="AA79" s="55"/>
      <c r="AB79" s="55"/>
      <c r="AC79" s="56"/>
      <c r="AD79" s="56"/>
      <c r="AE79" s="56"/>
      <c r="AF79" s="56"/>
      <c r="AK79" s="171"/>
      <c r="AL79" s="171"/>
      <c r="AM79" s="171"/>
      <c r="AN79" s="171"/>
      <c r="AO79" s="171"/>
      <c r="AP79" s="171"/>
      <c r="AQ79" s="171"/>
      <c r="AR79" s="171"/>
      <c r="AS79" s="171"/>
    </row>
    <row r="80" spans="1:45" s="50" customFormat="1" ht="25.5">
      <c r="A80" s="31" t="s">
        <v>187</v>
      </c>
      <c r="B80" s="32" t="s">
        <v>63</v>
      </c>
      <c r="C80" s="33" t="s">
        <v>65</v>
      </c>
      <c r="D80" s="33" t="s">
        <v>66</v>
      </c>
      <c r="E80" s="33" t="s">
        <v>61</v>
      </c>
      <c r="F80" s="53" t="s">
        <v>49</v>
      </c>
      <c r="G80" s="103">
        <f t="shared" si="84"/>
        <v>1495</v>
      </c>
      <c r="H80" s="53">
        <v>1300</v>
      </c>
      <c r="I80" s="53">
        <v>130</v>
      </c>
      <c r="J80" s="53">
        <v>65</v>
      </c>
      <c r="K80" s="89">
        <f t="shared" si="6"/>
        <v>643</v>
      </c>
      <c r="L80" s="53">
        <v>585</v>
      </c>
      <c r="M80" s="53">
        <v>58</v>
      </c>
      <c r="N80" s="53"/>
      <c r="O80" s="89">
        <f t="shared" si="7"/>
        <v>1495</v>
      </c>
      <c r="P80" s="92">
        <f t="shared" si="8"/>
        <v>1300</v>
      </c>
      <c r="Q80" s="92">
        <f t="shared" si="9"/>
        <v>130</v>
      </c>
      <c r="R80" s="92">
        <f t="shared" si="10"/>
        <v>65</v>
      </c>
      <c r="S80" s="89">
        <f t="shared" si="11"/>
        <v>0</v>
      </c>
      <c r="T80" s="106"/>
      <c r="U80" s="106"/>
      <c r="V80" s="106"/>
      <c r="W80" s="93"/>
      <c r="X80" s="109"/>
      <c r="Y80" s="37"/>
      <c r="Z80" s="55"/>
      <c r="AA80" s="55"/>
      <c r="AB80" s="55"/>
      <c r="AC80" s="56"/>
      <c r="AD80" s="56"/>
      <c r="AE80" s="56"/>
      <c r="AF80" s="56"/>
      <c r="AK80" s="171"/>
      <c r="AL80" s="171"/>
      <c r="AM80" s="171"/>
      <c r="AN80" s="171"/>
      <c r="AO80" s="171"/>
      <c r="AP80" s="171"/>
      <c r="AQ80" s="171"/>
      <c r="AR80" s="171"/>
      <c r="AS80" s="171"/>
    </row>
    <row r="81" spans="1:45" s="50" customFormat="1" ht="25.5">
      <c r="A81" s="31" t="s">
        <v>188</v>
      </c>
      <c r="B81" s="32" t="s">
        <v>64</v>
      </c>
      <c r="C81" s="33" t="s">
        <v>65</v>
      </c>
      <c r="D81" s="33" t="s">
        <v>67</v>
      </c>
      <c r="E81" s="33" t="s">
        <v>61</v>
      </c>
      <c r="F81" s="33" t="s">
        <v>49</v>
      </c>
      <c r="G81" s="103">
        <f t="shared" si="84"/>
        <v>1103</v>
      </c>
      <c r="H81" s="53">
        <v>959</v>
      </c>
      <c r="I81" s="53">
        <v>96</v>
      </c>
      <c r="J81" s="53">
        <v>48</v>
      </c>
      <c r="K81" s="89">
        <f t="shared" si="6"/>
        <v>474</v>
      </c>
      <c r="L81" s="53">
        <v>431</v>
      </c>
      <c r="M81" s="53">
        <v>43</v>
      </c>
      <c r="N81" s="53"/>
      <c r="O81" s="89">
        <f t="shared" si="7"/>
        <v>1103</v>
      </c>
      <c r="P81" s="92">
        <f t="shared" si="8"/>
        <v>959</v>
      </c>
      <c r="Q81" s="92">
        <f t="shared" si="9"/>
        <v>96</v>
      </c>
      <c r="R81" s="92">
        <f t="shared" si="10"/>
        <v>48</v>
      </c>
      <c r="S81" s="89">
        <f t="shared" si="11"/>
        <v>0</v>
      </c>
      <c r="T81" s="106"/>
      <c r="U81" s="106"/>
      <c r="V81" s="106"/>
      <c r="W81" s="93"/>
      <c r="X81" s="109"/>
      <c r="Y81" s="37"/>
      <c r="Z81" s="55"/>
      <c r="AA81" s="55"/>
      <c r="AB81" s="55"/>
      <c r="AC81" s="56"/>
      <c r="AD81" s="56"/>
      <c r="AE81" s="56"/>
      <c r="AF81" s="56"/>
      <c r="AK81" s="171"/>
      <c r="AL81" s="171"/>
      <c r="AM81" s="171"/>
      <c r="AN81" s="171"/>
      <c r="AO81" s="171"/>
      <c r="AP81" s="171"/>
      <c r="AQ81" s="171"/>
      <c r="AR81" s="171"/>
      <c r="AS81" s="171"/>
    </row>
    <row r="82" spans="1:45" s="183" customFormat="1" ht="15.75">
      <c r="A82" s="192"/>
      <c r="B82" s="191" t="s">
        <v>277</v>
      </c>
      <c r="C82" s="190"/>
      <c r="D82" s="190"/>
      <c r="E82" s="190"/>
      <c r="F82" s="190"/>
      <c r="G82" s="189">
        <f t="shared" ref="G82:N82" si="94">SUM(G83:G83)</f>
        <v>0</v>
      </c>
      <c r="H82" s="189">
        <f t="shared" si="94"/>
        <v>0</v>
      </c>
      <c r="I82" s="189">
        <f t="shared" si="94"/>
        <v>0</v>
      </c>
      <c r="J82" s="189">
        <f t="shared" si="94"/>
        <v>0</v>
      </c>
      <c r="K82" s="189">
        <f t="shared" si="94"/>
        <v>0</v>
      </c>
      <c r="L82" s="189">
        <f t="shared" si="94"/>
        <v>0</v>
      </c>
      <c r="M82" s="189">
        <f t="shared" si="94"/>
        <v>0</v>
      </c>
      <c r="N82" s="189">
        <f t="shared" si="94"/>
        <v>0</v>
      </c>
      <c r="O82" s="189">
        <v>1171.270492266332</v>
      </c>
      <c r="P82" s="189">
        <v>1018.5342946136718</v>
      </c>
      <c r="Q82" s="189">
        <v>101.8094829219764</v>
      </c>
      <c r="R82" s="189">
        <v>50.926714730683592</v>
      </c>
      <c r="S82" s="189">
        <f>SUM(S83:S83)</f>
        <v>1171.270492266332</v>
      </c>
      <c r="T82" s="189">
        <f>SUM(T83:T83)</f>
        <v>1018.5342946136718</v>
      </c>
      <c r="U82" s="189">
        <f>SUM(U83:U83)</f>
        <v>101.8094829219764</v>
      </c>
      <c r="V82" s="189">
        <f>SUM(V83:V83)</f>
        <v>50.926714730683592</v>
      </c>
      <c r="W82" s="188"/>
      <c r="X82" s="187"/>
      <c r="Y82" s="186"/>
      <c r="Z82" s="185"/>
      <c r="AA82" s="185"/>
      <c r="AB82" s="185"/>
      <c r="AC82" s="184"/>
      <c r="AD82" s="184"/>
      <c r="AE82" s="184"/>
      <c r="AF82" s="184"/>
    </row>
    <row r="83" spans="1:45" s="50" customFormat="1" ht="25.5">
      <c r="A83" s="31"/>
      <c r="B83" s="32" t="s">
        <v>375</v>
      </c>
      <c r="C83" s="33" t="s">
        <v>376</v>
      </c>
      <c r="D83" s="33" t="s">
        <v>377</v>
      </c>
      <c r="E83" s="33" t="s">
        <v>376</v>
      </c>
      <c r="F83" s="33" t="s">
        <v>358</v>
      </c>
      <c r="G83" s="103">
        <f>H83+I83+J83</f>
        <v>0</v>
      </c>
      <c r="H83" s="53"/>
      <c r="I83" s="53"/>
      <c r="J83" s="53"/>
      <c r="K83" s="89">
        <f t="shared" ref="K83" si="95">L83+M83+N83</f>
        <v>0</v>
      </c>
      <c r="L83" s="53"/>
      <c r="M83" s="53"/>
      <c r="N83" s="53"/>
      <c r="O83" s="89">
        <f>O82</f>
        <v>1171.270492266332</v>
      </c>
      <c r="P83" s="92">
        <f>P82</f>
        <v>1018.5342946136718</v>
      </c>
      <c r="Q83" s="92">
        <f t="shared" ref="Q83:R83" si="96">Q82</f>
        <v>101.8094829219764</v>
      </c>
      <c r="R83" s="92">
        <f t="shared" si="96"/>
        <v>50.926714730683592</v>
      </c>
      <c r="S83" s="89">
        <f t="shared" ref="S83" si="97">T83+U83+V83</f>
        <v>1171.270492266332</v>
      </c>
      <c r="T83" s="106">
        <f>P83</f>
        <v>1018.5342946136718</v>
      </c>
      <c r="U83" s="106">
        <f t="shared" ref="U83" si="98">Q83</f>
        <v>101.8094829219764</v>
      </c>
      <c r="V83" s="106">
        <f t="shared" ref="V83" si="99">R83</f>
        <v>50.926714730683592</v>
      </c>
      <c r="W83" s="93" t="s">
        <v>368</v>
      </c>
      <c r="X83" s="109"/>
      <c r="Y83" s="37">
        <v>88</v>
      </c>
      <c r="Z83" s="55" t="e">
        <f>H83/$G83</f>
        <v>#DIV/0!</v>
      </c>
      <c r="AA83" s="55" t="e">
        <f>I83/$G83</f>
        <v>#DIV/0!</v>
      </c>
      <c r="AB83" s="55" t="e">
        <f>J83/$G83</f>
        <v>#DIV/0!</v>
      </c>
      <c r="AC83" s="56" t="e">
        <f>ROUNDDOWN($Y83*Z83,0)+1</f>
        <v>#DIV/0!</v>
      </c>
      <c r="AD83" s="56" t="e">
        <f t="shared" ref="AD83" si="100">ROUNDDOWN($Y83*AA83,0)</f>
        <v>#DIV/0!</v>
      </c>
      <c r="AE83" s="56" t="e">
        <f>ROUNDDOWN($Y83*AB83,0)+1</f>
        <v>#DIV/0!</v>
      </c>
      <c r="AF83" s="56" t="e">
        <f>Y83-AC83-AD83-AE83</f>
        <v>#DIV/0!</v>
      </c>
      <c r="AK83" s="171"/>
      <c r="AL83" s="171"/>
      <c r="AM83" s="171"/>
      <c r="AN83" s="171"/>
      <c r="AO83" s="171"/>
      <c r="AP83" s="171"/>
      <c r="AQ83" s="171"/>
      <c r="AR83" s="171"/>
      <c r="AS83" s="171"/>
    </row>
    <row r="84" spans="1:45" s="5" customFormat="1" ht="15.75">
      <c r="A84" s="132">
        <v>4</v>
      </c>
      <c r="B84" s="133" t="s">
        <v>15</v>
      </c>
      <c r="C84" s="133"/>
      <c r="D84" s="133"/>
      <c r="E84" s="133"/>
      <c r="F84" s="133"/>
      <c r="G84" s="193">
        <f>SUM(G85:G92)</f>
        <v>12370</v>
      </c>
      <c r="H84" s="193">
        <f t="shared" ref="H84:V84" si="101">SUM(H85:H92)</f>
        <v>10756</v>
      </c>
      <c r="I84" s="193">
        <f t="shared" si="101"/>
        <v>1076</v>
      </c>
      <c r="J84" s="193">
        <f t="shared" si="101"/>
        <v>538</v>
      </c>
      <c r="K84" s="193">
        <f t="shared" si="101"/>
        <v>6044</v>
      </c>
      <c r="L84" s="193">
        <f t="shared" si="101"/>
        <v>5391</v>
      </c>
      <c r="M84" s="193">
        <f t="shared" si="101"/>
        <v>566</v>
      </c>
      <c r="N84" s="193">
        <f t="shared" si="101"/>
        <v>87</v>
      </c>
      <c r="O84" s="193">
        <f t="shared" si="101"/>
        <v>13506.337581126534</v>
      </c>
      <c r="P84" s="193">
        <f t="shared" si="101"/>
        <v>11744.156710407882</v>
      </c>
      <c r="Q84" s="193">
        <f t="shared" si="101"/>
        <v>1174.7730351982566</v>
      </c>
      <c r="R84" s="193">
        <f t="shared" si="101"/>
        <v>587.4078355203942</v>
      </c>
      <c r="S84" s="193">
        <f t="shared" si="101"/>
        <v>1136.3375811265337</v>
      </c>
      <c r="T84" s="193">
        <f t="shared" si="101"/>
        <v>988.15671040788288</v>
      </c>
      <c r="U84" s="193">
        <f t="shared" si="101"/>
        <v>98.773035198256665</v>
      </c>
      <c r="V84" s="193">
        <f t="shared" si="101"/>
        <v>49.407835520394151</v>
      </c>
      <c r="W84" s="125"/>
      <c r="X84" s="126">
        <f>H84-P84</f>
        <v>-988.1567104078822</v>
      </c>
      <c r="Y84" s="126">
        <f>I84-Q84</f>
        <v>-98.773035198256594</v>
      </c>
      <c r="Z84" s="126">
        <f>J84-R84</f>
        <v>-49.407835520394201</v>
      </c>
      <c r="AA84" s="105"/>
      <c r="AB84" s="105">
        <f>SUM(J85:J89)-J84</f>
        <v>-69</v>
      </c>
      <c r="AC84" s="105"/>
      <c r="AD84" s="105"/>
      <c r="AE84" s="105"/>
      <c r="AF84" s="105"/>
      <c r="AK84" s="171"/>
      <c r="AL84" s="171"/>
      <c r="AM84" s="171"/>
      <c r="AN84" s="171"/>
      <c r="AO84" s="171"/>
      <c r="AP84" s="171"/>
      <c r="AQ84" s="171"/>
      <c r="AR84" s="171"/>
      <c r="AS84" s="171"/>
    </row>
    <row r="85" spans="1:45" s="50" customFormat="1" ht="25.5">
      <c r="A85" s="153" t="s">
        <v>189</v>
      </c>
      <c r="B85" s="154" t="s">
        <v>68</v>
      </c>
      <c r="C85" s="155" t="s">
        <v>76</v>
      </c>
      <c r="D85" s="155" t="s">
        <v>69</v>
      </c>
      <c r="E85" s="155" t="s">
        <v>70</v>
      </c>
      <c r="F85" s="155" t="s">
        <v>45</v>
      </c>
      <c r="G85" s="156">
        <f t="shared" si="84"/>
        <v>1069.5</v>
      </c>
      <c r="H85" s="157">
        <v>930</v>
      </c>
      <c r="I85" s="157">
        <v>93</v>
      </c>
      <c r="J85" s="157">
        <v>46.5</v>
      </c>
      <c r="K85" s="196">
        <f t="shared" ref="K85:K168" si="102">L85+M85+N85</f>
        <v>999</v>
      </c>
      <c r="L85" s="157">
        <v>868</v>
      </c>
      <c r="M85" s="157">
        <v>86</v>
      </c>
      <c r="N85" s="157">
        <v>45</v>
      </c>
      <c r="O85" s="196">
        <f t="shared" ref="O85:O168" si="103">P85+Q85+R85</f>
        <v>1069.5</v>
      </c>
      <c r="P85" s="174">
        <f t="shared" ref="P85:P168" si="104">H85+T85</f>
        <v>930</v>
      </c>
      <c r="Q85" s="174">
        <f t="shared" ref="Q85:Q168" si="105">I85+U85</f>
        <v>93</v>
      </c>
      <c r="R85" s="174">
        <f t="shared" ref="R85:R168" si="106">J85+V85</f>
        <v>46.5</v>
      </c>
      <c r="S85" s="196">
        <f t="shared" ref="S85:S168" si="107">T85+U85+V85</f>
        <v>0</v>
      </c>
      <c r="T85" s="160"/>
      <c r="U85" s="160"/>
      <c r="V85" s="160"/>
      <c r="W85" s="161"/>
      <c r="X85" s="162"/>
      <c r="Y85" s="163"/>
      <c r="Z85" s="164"/>
      <c r="AA85" s="164"/>
      <c r="AB85" s="164"/>
      <c r="AK85" s="171"/>
      <c r="AL85" s="171"/>
      <c r="AM85" s="171"/>
      <c r="AN85" s="171"/>
      <c r="AO85" s="171"/>
      <c r="AP85" s="171"/>
      <c r="AQ85" s="171"/>
      <c r="AR85" s="171"/>
      <c r="AS85" s="171"/>
    </row>
    <row r="86" spans="1:45" s="50" customFormat="1" ht="38.25">
      <c r="A86" s="153" t="s">
        <v>190</v>
      </c>
      <c r="B86" s="154" t="s">
        <v>72</v>
      </c>
      <c r="C86" s="155" t="s">
        <v>76</v>
      </c>
      <c r="D86" s="155" t="s">
        <v>73</v>
      </c>
      <c r="E86" s="155" t="s">
        <v>74</v>
      </c>
      <c r="F86" s="155" t="s">
        <v>45</v>
      </c>
      <c r="G86" s="156">
        <f t="shared" si="84"/>
        <v>960.75</v>
      </c>
      <c r="H86" s="157">
        <v>835</v>
      </c>
      <c r="I86" s="157">
        <v>84</v>
      </c>
      <c r="J86" s="157">
        <v>41.75</v>
      </c>
      <c r="K86" s="196">
        <f t="shared" si="102"/>
        <v>899</v>
      </c>
      <c r="L86" s="157">
        <v>779</v>
      </c>
      <c r="M86" s="157">
        <v>78</v>
      </c>
      <c r="N86" s="157">
        <v>42</v>
      </c>
      <c r="O86" s="196">
        <f t="shared" si="103"/>
        <v>960.75</v>
      </c>
      <c r="P86" s="174">
        <f t="shared" si="104"/>
        <v>835</v>
      </c>
      <c r="Q86" s="174">
        <f t="shared" si="105"/>
        <v>84</v>
      </c>
      <c r="R86" s="174">
        <f t="shared" si="106"/>
        <v>41.75</v>
      </c>
      <c r="S86" s="196">
        <f t="shared" si="107"/>
        <v>0</v>
      </c>
      <c r="T86" s="160"/>
      <c r="U86" s="160"/>
      <c r="V86" s="160"/>
      <c r="W86" s="161"/>
      <c r="X86" s="162"/>
      <c r="Y86" s="163"/>
      <c r="Z86" s="164"/>
      <c r="AA86" s="164"/>
      <c r="AB86" s="164"/>
      <c r="AK86" s="171"/>
      <c r="AL86" s="171"/>
      <c r="AM86" s="171"/>
      <c r="AN86" s="171"/>
      <c r="AO86" s="171"/>
      <c r="AP86" s="171"/>
      <c r="AQ86" s="171"/>
      <c r="AR86" s="171"/>
      <c r="AS86" s="171"/>
    </row>
    <row r="87" spans="1:45" s="50" customFormat="1" ht="25.5">
      <c r="A87" s="31" t="s">
        <v>191</v>
      </c>
      <c r="B87" s="32" t="s">
        <v>75</v>
      </c>
      <c r="C87" s="33" t="s">
        <v>76</v>
      </c>
      <c r="D87" s="135" t="s">
        <v>267</v>
      </c>
      <c r="E87" s="33" t="s">
        <v>74</v>
      </c>
      <c r="F87" s="53" t="s">
        <v>157</v>
      </c>
      <c r="G87" s="103">
        <f t="shared" si="84"/>
        <v>586.5</v>
      </c>
      <c r="H87" s="53">
        <v>510</v>
      </c>
      <c r="I87" s="53">
        <v>51</v>
      </c>
      <c r="J87" s="53">
        <v>25.5</v>
      </c>
      <c r="K87" s="89">
        <f t="shared" si="102"/>
        <v>251</v>
      </c>
      <c r="L87" s="53">
        <v>229</v>
      </c>
      <c r="M87" s="53">
        <v>22</v>
      </c>
      <c r="N87" s="53"/>
      <c r="O87" s="89">
        <f t="shared" si="103"/>
        <v>586.5</v>
      </c>
      <c r="P87" s="92">
        <f t="shared" si="104"/>
        <v>510</v>
      </c>
      <c r="Q87" s="92">
        <f t="shared" si="105"/>
        <v>51</v>
      </c>
      <c r="R87" s="92">
        <f t="shared" si="106"/>
        <v>25.5</v>
      </c>
      <c r="S87" s="89">
        <f t="shared" si="107"/>
        <v>0</v>
      </c>
      <c r="T87" s="106"/>
      <c r="U87" s="106"/>
      <c r="V87" s="106"/>
      <c r="W87" s="93"/>
      <c r="X87" s="109"/>
      <c r="Y87" s="37"/>
      <c r="Z87" s="55"/>
      <c r="AA87" s="55"/>
      <c r="AB87" s="55"/>
      <c r="AC87" s="56"/>
      <c r="AD87" s="56"/>
      <c r="AE87" s="56"/>
      <c r="AF87" s="56"/>
      <c r="AK87" s="171"/>
      <c r="AL87" s="171"/>
      <c r="AM87" s="171"/>
      <c r="AN87" s="171"/>
      <c r="AO87" s="171"/>
      <c r="AP87" s="171"/>
      <c r="AQ87" s="171"/>
      <c r="AR87" s="171"/>
      <c r="AS87" s="171"/>
    </row>
    <row r="88" spans="1:45" s="50" customFormat="1" ht="25.5">
      <c r="A88" s="31" t="s">
        <v>192</v>
      </c>
      <c r="B88" s="154" t="s">
        <v>339</v>
      </c>
      <c r="C88" s="155" t="s">
        <v>76</v>
      </c>
      <c r="D88" s="158" t="s">
        <v>71</v>
      </c>
      <c r="E88" s="155" t="s">
        <v>70</v>
      </c>
      <c r="F88" s="157" t="s">
        <v>157</v>
      </c>
      <c r="G88" s="156">
        <f t="shared" si="84"/>
        <v>488.25</v>
      </c>
      <c r="H88" s="157">
        <v>425</v>
      </c>
      <c r="I88" s="157">
        <v>42</v>
      </c>
      <c r="J88" s="157">
        <v>21.25</v>
      </c>
      <c r="K88" s="89">
        <f t="shared" si="102"/>
        <v>209</v>
      </c>
      <c r="L88" s="157">
        <v>191</v>
      </c>
      <c r="M88" s="157">
        <v>18</v>
      </c>
      <c r="N88" s="157"/>
      <c r="O88" s="89">
        <f t="shared" si="103"/>
        <v>488.25</v>
      </c>
      <c r="P88" s="92">
        <f t="shared" si="104"/>
        <v>425</v>
      </c>
      <c r="Q88" s="92">
        <f t="shared" si="105"/>
        <v>42</v>
      </c>
      <c r="R88" s="92">
        <f t="shared" si="106"/>
        <v>21.25</v>
      </c>
      <c r="S88" s="89">
        <f t="shared" si="107"/>
        <v>0</v>
      </c>
      <c r="T88" s="160"/>
      <c r="U88" s="160"/>
      <c r="V88" s="160"/>
      <c r="W88" s="161"/>
      <c r="X88" s="162"/>
      <c r="Y88" s="163"/>
      <c r="Z88" s="164"/>
      <c r="AA88" s="164"/>
      <c r="AB88" s="164"/>
      <c r="AK88" s="171"/>
      <c r="AL88" s="171"/>
      <c r="AM88" s="171"/>
      <c r="AN88" s="171"/>
      <c r="AO88" s="171"/>
      <c r="AP88" s="171"/>
      <c r="AQ88" s="171"/>
      <c r="AR88" s="171"/>
      <c r="AS88" s="171"/>
    </row>
    <row r="89" spans="1:45" s="50" customFormat="1" ht="38.25">
      <c r="A89" s="31" t="s">
        <v>193</v>
      </c>
      <c r="B89" s="32" t="s">
        <v>171</v>
      </c>
      <c r="C89" s="33" t="s">
        <v>251</v>
      </c>
      <c r="D89" s="33" t="s">
        <v>172</v>
      </c>
      <c r="E89" s="33" t="s">
        <v>15</v>
      </c>
      <c r="F89" s="53" t="s">
        <v>157</v>
      </c>
      <c r="G89" s="103">
        <f t="shared" si="84"/>
        <v>7728</v>
      </c>
      <c r="H89" s="53">
        <v>6722</v>
      </c>
      <c r="I89" s="53">
        <v>672</v>
      </c>
      <c r="J89" s="53">
        <v>334</v>
      </c>
      <c r="K89" s="89">
        <f t="shared" si="102"/>
        <v>3026</v>
      </c>
      <c r="L89" s="53">
        <v>2724</v>
      </c>
      <c r="M89" s="53">
        <v>302</v>
      </c>
      <c r="N89" s="53"/>
      <c r="O89" s="89">
        <f t="shared" si="103"/>
        <v>7728</v>
      </c>
      <c r="P89" s="92">
        <f t="shared" si="104"/>
        <v>6722</v>
      </c>
      <c r="Q89" s="92">
        <f t="shared" si="105"/>
        <v>672</v>
      </c>
      <c r="R89" s="92">
        <f t="shared" si="106"/>
        <v>334</v>
      </c>
      <c r="S89" s="89">
        <f t="shared" si="107"/>
        <v>0</v>
      </c>
      <c r="T89" s="106"/>
      <c r="U89" s="106"/>
      <c r="V89" s="106"/>
      <c r="W89" s="93"/>
      <c r="X89" s="109"/>
      <c r="Y89" s="37"/>
      <c r="Z89" s="55"/>
      <c r="AA89" s="55"/>
      <c r="AB89" s="55"/>
      <c r="AC89" s="56"/>
      <c r="AD89" s="56"/>
      <c r="AE89" s="56"/>
      <c r="AF89" s="56"/>
      <c r="AK89" s="171"/>
      <c r="AL89" s="171"/>
      <c r="AM89" s="171"/>
      <c r="AN89" s="171"/>
      <c r="AO89" s="171"/>
      <c r="AP89" s="171"/>
      <c r="AQ89" s="171"/>
      <c r="AR89" s="171"/>
      <c r="AS89" s="171"/>
    </row>
    <row r="90" spans="1:45" s="65" customFormat="1" ht="51">
      <c r="A90" s="31" t="s">
        <v>244</v>
      </c>
      <c r="B90" s="194" t="s">
        <v>348</v>
      </c>
      <c r="C90" s="97" t="s">
        <v>281</v>
      </c>
      <c r="D90" s="97" t="s">
        <v>349</v>
      </c>
      <c r="E90" s="97" t="s">
        <v>350</v>
      </c>
      <c r="F90" s="97" t="s">
        <v>351</v>
      </c>
      <c r="G90" s="103">
        <f t="shared" si="84"/>
        <v>1089</v>
      </c>
      <c r="H90" s="59">
        <v>946</v>
      </c>
      <c r="I90" s="59">
        <v>94</v>
      </c>
      <c r="J90" s="59">
        <v>49</v>
      </c>
      <c r="K90" s="89">
        <f t="shared" si="102"/>
        <v>462</v>
      </c>
      <c r="L90" s="59">
        <v>420</v>
      </c>
      <c r="M90" s="59">
        <v>42</v>
      </c>
      <c r="N90" s="59"/>
      <c r="O90" s="89">
        <f t="shared" si="103"/>
        <v>1089</v>
      </c>
      <c r="P90" s="92">
        <f t="shared" si="104"/>
        <v>946</v>
      </c>
      <c r="Q90" s="92">
        <f t="shared" si="105"/>
        <v>94</v>
      </c>
      <c r="R90" s="92">
        <f t="shared" si="106"/>
        <v>49</v>
      </c>
      <c r="S90" s="89">
        <f t="shared" si="107"/>
        <v>0</v>
      </c>
      <c r="T90" s="136"/>
      <c r="U90" s="136"/>
      <c r="V90" s="136"/>
      <c r="W90" s="61"/>
      <c r="X90" s="62"/>
      <c r="Y90" s="63"/>
      <c r="Z90" s="64"/>
      <c r="AA90" s="64"/>
      <c r="AB90" s="64"/>
      <c r="AK90" s="171"/>
      <c r="AL90" s="171"/>
      <c r="AM90" s="171"/>
      <c r="AN90" s="171"/>
      <c r="AO90" s="171"/>
      <c r="AP90" s="171"/>
      <c r="AQ90" s="171"/>
      <c r="AR90" s="171"/>
      <c r="AS90" s="171"/>
    </row>
    <row r="91" spans="1:45" s="65" customFormat="1" ht="63.75">
      <c r="A91" s="31" t="s">
        <v>245</v>
      </c>
      <c r="B91" s="194" t="s">
        <v>352</v>
      </c>
      <c r="C91" s="97" t="s">
        <v>281</v>
      </c>
      <c r="D91" s="97" t="s">
        <v>353</v>
      </c>
      <c r="E91" s="97" t="s">
        <v>350</v>
      </c>
      <c r="F91" s="97" t="s">
        <v>351</v>
      </c>
      <c r="G91" s="103">
        <f t="shared" ref="G91" si="108">H91+I91+J91</f>
        <v>448</v>
      </c>
      <c r="H91" s="59">
        <v>388</v>
      </c>
      <c r="I91" s="59">
        <v>40</v>
      </c>
      <c r="J91" s="59">
        <v>20</v>
      </c>
      <c r="K91" s="89">
        <f t="shared" ref="K91" si="109">L91+M91+N91</f>
        <v>198</v>
      </c>
      <c r="L91" s="59">
        <v>180</v>
      </c>
      <c r="M91" s="59">
        <v>18</v>
      </c>
      <c r="N91" s="59"/>
      <c r="O91" s="89">
        <f t="shared" ref="O91" si="110">P91+Q91+R91</f>
        <v>448</v>
      </c>
      <c r="P91" s="92">
        <f t="shared" ref="P91" si="111">H91+T91</f>
        <v>388</v>
      </c>
      <c r="Q91" s="92">
        <f t="shared" ref="Q91" si="112">I91+U91</f>
        <v>40</v>
      </c>
      <c r="R91" s="92">
        <f t="shared" ref="R91" si="113">J91+V91</f>
        <v>20</v>
      </c>
      <c r="S91" s="89">
        <f t="shared" ref="S91" si="114">T91+U91+V91</f>
        <v>0</v>
      </c>
      <c r="T91" s="136"/>
      <c r="U91" s="136"/>
      <c r="V91" s="136"/>
      <c r="W91" s="61"/>
      <c r="X91" s="62"/>
      <c r="Y91" s="63"/>
      <c r="Z91" s="64"/>
      <c r="AA91" s="64"/>
      <c r="AB91" s="64"/>
      <c r="AK91" s="171"/>
      <c r="AL91" s="171"/>
      <c r="AM91" s="171"/>
      <c r="AN91" s="171"/>
      <c r="AO91" s="171"/>
      <c r="AP91" s="171"/>
      <c r="AQ91" s="171"/>
      <c r="AR91" s="171"/>
      <c r="AS91" s="171"/>
    </row>
    <row r="92" spans="1:45" s="183" customFormat="1" ht="15.75">
      <c r="A92" s="192"/>
      <c r="B92" s="191" t="s">
        <v>277</v>
      </c>
      <c r="C92" s="190"/>
      <c r="D92" s="190"/>
      <c r="E92" s="190"/>
      <c r="F92" s="190"/>
      <c r="G92" s="189">
        <f t="shared" ref="G92:N92" si="115">SUM(G93:G96)</f>
        <v>0</v>
      </c>
      <c r="H92" s="189">
        <f t="shared" si="115"/>
        <v>0</v>
      </c>
      <c r="I92" s="189">
        <f t="shared" si="115"/>
        <v>0</v>
      </c>
      <c r="J92" s="189">
        <f t="shared" si="115"/>
        <v>0</v>
      </c>
      <c r="K92" s="189">
        <f t="shared" si="115"/>
        <v>0</v>
      </c>
      <c r="L92" s="189">
        <f t="shared" si="115"/>
        <v>0</v>
      </c>
      <c r="M92" s="189">
        <f t="shared" si="115"/>
        <v>0</v>
      </c>
      <c r="N92" s="189">
        <f t="shared" si="115"/>
        <v>0</v>
      </c>
      <c r="O92" s="189">
        <v>1136.3375811265337</v>
      </c>
      <c r="P92" s="189">
        <v>988.15671040788288</v>
      </c>
      <c r="Q92" s="189">
        <v>98.773035198256665</v>
      </c>
      <c r="R92" s="189">
        <v>49.407835520394151</v>
      </c>
      <c r="S92" s="189">
        <f>SUM(S93:S96)</f>
        <v>1136.3375811265337</v>
      </c>
      <c r="T92" s="189">
        <f>SUM(T93:T96)</f>
        <v>988.15671040788288</v>
      </c>
      <c r="U92" s="189">
        <f>SUM(U93:U96)</f>
        <v>98.773035198256665</v>
      </c>
      <c r="V92" s="189">
        <f>SUM(V93:V96)</f>
        <v>49.407835520394151</v>
      </c>
      <c r="W92" s="188"/>
      <c r="X92" s="187"/>
      <c r="Y92" s="186"/>
      <c r="Z92" s="185"/>
      <c r="AA92" s="185"/>
      <c r="AB92" s="185"/>
      <c r="AC92" s="184"/>
      <c r="AD92" s="184"/>
      <c r="AE92" s="184"/>
      <c r="AF92" s="184"/>
    </row>
    <row r="93" spans="1:45" s="65" customFormat="1" ht="38.25">
      <c r="A93" s="31"/>
      <c r="B93" s="194" t="s">
        <v>379</v>
      </c>
      <c r="C93" s="97" t="s">
        <v>380</v>
      </c>
      <c r="D93" s="97" t="s">
        <v>381</v>
      </c>
      <c r="E93" s="97" t="s">
        <v>70</v>
      </c>
      <c r="F93" s="97" t="s">
        <v>358</v>
      </c>
      <c r="G93" s="103">
        <f>H93+I93+J93</f>
        <v>0</v>
      </c>
      <c r="H93" s="59"/>
      <c r="I93" s="59"/>
      <c r="J93" s="59"/>
      <c r="K93" s="89">
        <f t="shared" ref="K93:K94" si="116">L93+M93+N93</f>
        <v>0</v>
      </c>
      <c r="L93" s="59"/>
      <c r="M93" s="59"/>
      <c r="N93" s="59"/>
      <c r="O93" s="89">
        <f>P93+Q93+R93</f>
        <v>239</v>
      </c>
      <c r="P93" s="92">
        <v>209</v>
      </c>
      <c r="Q93" s="92">
        <v>20</v>
      </c>
      <c r="R93" s="92">
        <v>10</v>
      </c>
      <c r="S93" s="89">
        <f t="shared" ref="S93" si="117">T93+U93+V93</f>
        <v>239</v>
      </c>
      <c r="T93" s="136">
        <f>P93</f>
        <v>209</v>
      </c>
      <c r="U93" s="136">
        <f t="shared" ref="U93" si="118">Q93</f>
        <v>20</v>
      </c>
      <c r="V93" s="136">
        <f t="shared" ref="V93" si="119">R93</f>
        <v>10</v>
      </c>
      <c r="W93" s="61" t="s">
        <v>368</v>
      </c>
      <c r="X93" s="62"/>
      <c r="Y93" s="63">
        <v>88</v>
      </c>
      <c r="Z93" s="64" t="e">
        <f>H93/$G93</f>
        <v>#DIV/0!</v>
      </c>
      <c r="AA93" s="64" t="e">
        <f>I93/$G93</f>
        <v>#DIV/0!</v>
      </c>
      <c r="AB93" s="64" t="e">
        <f>J93/$G93</f>
        <v>#DIV/0!</v>
      </c>
      <c r="AC93" s="65" t="e">
        <f>ROUNDDOWN($Y93*Z93,0)+1</f>
        <v>#DIV/0!</v>
      </c>
      <c r="AD93" s="65" t="e">
        <f t="shared" ref="AD93" si="120">ROUNDDOWN($Y93*AA93,0)</f>
        <v>#DIV/0!</v>
      </c>
      <c r="AE93" s="65" t="e">
        <f>ROUNDDOWN($Y93*AB93,0)+1</f>
        <v>#DIV/0!</v>
      </c>
      <c r="AF93" s="65" t="e">
        <f>Y93-AC93-AD93-AE93</f>
        <v>#DIV/0!</v>
      </c>
      <c r="AK93" s="171"/>
      <c r="AL93" s="171"/>
      <c r="AM93" s="171"/>
      <c r="AN93" s="171"/>
      <c r="AO93" s="171"/>
      <c r="AP93" s="171"/>
      <c r="AQ93" s="171"/>
      <c r="AR93" s="171"/>
      <c r="AS93" s="171"/>
    </row>
    <row r="94" spans="1:45" s="65" customFormat="1" ht="38.25">
      <c r="A94" s="31"/>
      <c r="B94" s="194" t="s">
        <v>382</v>
      </c>
      <c r="C94" s="97" t="s">
        <v>380</v>
      </c>
      <c r="D94" s="97" t="s">
        <v>383</v>
      </c>
      <c r="E94" s="97" t="s">
        <v>70</v>
      </c>
      <c r="F94" s="97" t="s">
        <v>358</v>
      </c>
      <c r="G94" s="103">
        <f>H94+I94+J94</f>
        <v>0</v>
      </c>
      <c r="H94" s="59"/>
      <c r="I94" s="59"/>
      <c r="J94" s="59"/>
      <c r="K94" s="89">
        <f t="shared" si="116"/>
        <v>0</v>
      </c>
      <c r="L94" s="59"/>
      <c r="M94" s="59"/>
      <c r="N94" s="59"/>
      <c r="O94" s="89">
        <f t="shared" ref="O94:O96" si="121">P94+Q94+R94</f>
        <v>184</v>
      </c>
      <c r="P94" s="92">
        <v>160</v>
      </c>
      <c r="Q94" s="92">
        <v>16</v>
      </c>
      <c r="R94" s="92">
        <v>8</v>
      </c>
      <c r="S94" s="89">
        <f t="shared" ref="S94:S95" si="122">T94+U94+V94</f>
        <v>184</v>
      </c>
      <c r="T94" s="136">
        <f>P94</f>
        <v>160</v>
      </c>
      <c r="U94" s="136">
        <f t="shared" ref="U94:U95" si="123">Q94</f>
        <v>16</v>
      </c>
      <c r="V94" s="136">
        <f t="shared" ref="V94:V95" si="124">R94</f>
        <v>8</v>
      </c>
      <c r="W94" s="61" t="s">
        <v>368</v>
      </c>
      <c r="X94" s="62"/>
      <c r="Y94" s="63"/>
      <c r="Z94" s="64"/>
      <c r="AA94" s="64"/>
      <c r="AB94" s="64"/>
      <c r="AK94" s="171"/>
      <c r="AL94" s="171"/>
      <c r="AM94" s="171"/>
      <c r="AN94" s="171"/>
      <c r="AO94" s="171"/>
      <c r="AP94" s="171"/>
      <c r="AQ94" s="171"/>
      <c r="AR94" s="171"/>
      <c r="AS94" s="171"/>
    </row>
    <row r="95" spans="1:45" s="65" customFormat="1" ht="63.75">
      <c r="A95" s="31"/>
      <c r="B95" s="194" t="s">
        <v>384</v>
      </c>
      <c r="C95" s="97" t="s">
        <v>380</v>
      </c>
      <c r="D95" s="97" t="s">
        <v>385</v>
      </c>
      <c r="E95" s="97" t="s">
        <v>70</v>
      </c>
      <c r="F95" s="97" t="s">
        <v>358</v>
      </c>
      <c r="G95" s="103">
        <f>H95+I95+J95</f>
        <v>0</v>
      </c>
      <c r="H95" s="59"/>
      <c r="I95" s="59"/>
      <c r="J95" s="59"/>
      <c r="K95" s="89">
        <f t="shared" ref="K95:K96" si="125">L95+M95+N95</f>
        <v>0</v>
      </c>
      <c r="L95" s="59"/>
      <c r="M95" s="59"/>
      <c r="N95" s="59"/>
      <c r="O95" s="89">
        <f t="shared" si="121"/>
        <v>390</v>
      </c>
      <c r="P95" s="92">
        <v>340</v>
      </c>
      <c r="Q95" s="92">
        <v>34</v>
      </c>
      <c r="R95" s="92">
        <v>16</v>
      </c>
      <c r="S95" s="89">
        <f t="shared" si="122"/>
        <v>390</v>
      </c>
      <c r="T95" s="136">
        <f>P95</f>
        <v>340</v>
      </c>
      <c r="U95" s="136">
        <f t="shared" si="123"/>
        <v>34</v>
      </c>
      <c r="V95" s="136">
        <f t="shared" si="124"/>
        <v>16</v>
      </c>
      <c r="W95" s="61" t="s">
        <v>368</v>
      </c>
      <c r="X95" s="62"/>
      <c r="Y95" s="63">
        <v>88</v>
      </c>
      <c r="Z95" s="64" t="e">
        <f>H95/$G95</f>
        <v>#DIV/0!</v>
      </c>
      <c r="AA95" s="64" t="e">
        <f>I95/$G95</f>
        <v>#DIV/0!</v>
      </c>
      <c r="AB95" s="64" t="e">
        <f>J95/$G95</f>
        <v>#DIV/0!</v>
      </c>
      <c r="AC95" s="65" t="e">
        <f>ROUNDDOWN($Y95*Z95,0)+1</f>
        <v>#DIV/0!</v>
      </c>
      <c r="AD95" s="65" t="e">
        <f t="shared" ref="AD95" si="126">ROUNDDOWN($Y95*AA95,0)</f>
        <v>#DIV/0!</v>
      </c>
      <c r="AE95" s="65" t="e">
        <f>ROUNDDOWN($Y95*AB95,0)+1</f>
        <v>#DIV/0!</v>
      </c>
      <c r="AF95" s="65" t="e">
        <f>Y95-AC95-AD95-AE95</f>
        <v>#DIV/0!</v>
      </c>
      <c r="AK95" s="171"/>
      <c r="AL95" s="171"/>
      <c r="AM95" s="171"/>
      <c r="AN95" s="171"/>
      <c r="AO95" s="171"/>
      <c r="AP95" s="171"/>
      <c r="AQ95" s="171"/>
      <c r="AR95" s="171"/>
      <c r="AS95" s="171"/>
    </row>
    <row r="96" spans="1:45" s="65" customFormat="1" ht="51">
      <c r="A96" s="31"/>
      <c r="B96" s="194" t="s">
        <v>386</v>
      </c>
      <c r="C96" s="97" t="s">
        <v>380</v>
      </c>
      <c r="D96" s="97" t="s">
        <v>387</v>
      </c>
      <c r="E96" s="97" t="s">
        <v>70</v>
      </c>
      <c r="F96" s="97" t="s">
        <v>358</v>
      </c>
      <c r="G96" s="103">
        <f>H96+I96+J96</f>
        <v>0</v>
      </c>
      <c r="H96" s="59"/>
      <c r="I96" s="59"/>
      <c r="J96" s="59"/>
      <c r="K96" s="89">
        <f t="shared" si="125"/>
        <v>0</v>
      </c>
      <c r="L96" s="59"/>
      <c r="M96" s="59"/>
      <c r="N96" s="59"/>
      <c r="O96" s="89">
        <f t="shared" si="121"/>
        <v>323.33758112653368</v>
      </c>
      <c r="P96" s="92">
        <f>P92-P93-P94-P95</f>
        <v>279.15671040788288</v>
      </c>
      <c r="Q96" s="92">
        <f t="shared" ref="Q96:R96" si="127">Q92-Q93-Q94-Q95</f>
        <v>28.773035198256665</v>
      </c>
      <c r="R96" s="92">
        <f t="shared" si="127"/>
        <v>15.407835520394151</v>
      </c>
      <c r="S96" s="89">
        <f t="shared" ref="S96" si="128">T96+U96+V96</f>
        <v>323.33758112653368</v>
      </c>
      <c r="T96" s="136">
        <f>P96</f>
        <v>279.15671040788288</v>
      </c>
      <c r="U96" s="136">
        <f t="shared" ref="U96" si="129">Q96</f>
        <v>28.773035198256665</v>
      </c>
      <c r="V96" s="136">
        <f t="shared" ref="V96" si="130">R96</f>
        <v>15.407835520394151</v>
      </c>
      <c r="W96" s="61" t="s">
        <v>368</v>
      </c>
      <c r="X96" s="62"/>
      <c r="Y96" s="63"/>
      <c r="Z96" s="64"/>
      <c r="AA96" s="64"/>
      <c r="AB96" s="64"/>
      <c r="AK96" s="171"/>
      <c r="AL96" s="171"/>
      <c r="AM96" s="171"/>
      <c r="AN96" s="171"/>
      <c r="AO96" s="171"/>
      <c r="AP96" s="171"/>
      <c r="AQ96" s="171"/>
      <c r="AR96" s="171"/>
      <c r="AS96" s="171"/>
    </row>
    <row r="97" spans="1:45" s="14" customFormat="1" ht="15.75">
      <c r="A97" s="128"/>
      <c r="B97" s="129" t="s">
        <v>4</v>
      </c>
      <c r="C97" s="129"/>
      <c r="D97" s="129"/>
      <c r="E97" s="129"/>
      <c r="F97" s="129"/>
      <c r="G97" s="181">
        <f t="shared" ref="G97:V97" si="131">G98+G102+G107+G114+G122+G130+G137+G145+G153+G161+G166+G171</f>
        <v>130142</v>
      </c>
      <c r="H97" s="181">
        <f t="shared" si="131"/>
        <v>113167</v>
      </c>
      <c r="I97" s="181">
        <f t="shared" si="131"/>
        <v>11323</v>
      </c>
      <c r="J97" s="181">
        <f t="shared" si="131"/>
        <v>5652</v>
      </c>
      <c r="K97" s="181">
        <f t="shared" si="131"/>
        <v>97260.776662234042</v>
      </c>
      <c r="L97" s="181">
        <f t="shared" si="131"/>
        <v>87359</v>
      </c>
      <c r="M97" s="181">
        <f t="shared" si="131"/>
        <v>8707</v>
      </c>
      <c r="N97" s="181">
        <f t="shared" si="131"/>
        <v>1194.7766622340425</v>
      </c>
      <c r="O97" s="181">
        <f t="shared" si="131"/>
        <v>141472.6966363281</v>
      </c>
      <c r="P97" s="181">
        <f t="shared" si="131"/>
        <v>123020.14936401533</v>
      </c>
      <c r="Q97" s="181">
        <f t="shared" si="131"/>
        <v>12307.88980411199</v>
      </c>
      <c r="R97" s="181">
        <f t="shared" si="131"/>
        <v>6144.6574682007667</v>
      </c>
      <c r="S97" s="181">
        <f t="shared" si="131"/>
        <v>11330.696636328108</v>
      </c>
      <c r="T97" s="181">
        <f t="shared" si="131"/>
        <v>9853.1493640153476</v>
      </c>
      <c r="U97" s="181">
        <f t="shared" si="131"/>
        <v>984.8898041119902</v>
      </c>
      <c r="V97" s="181">
        <f t="shared" si="131"/>
        <v>492.65746820076737</v>
      </c>
      <c r="W97" s="131"/>
      <c r="X97" s="126">
        <f>H97-P97</f>
        <v>-9853.1493640153349</v>
      </c>
      <c r="Y97" s="126">
        <f>I97-Q97</f>
        <v>-984.88980411199009</v>
      </c>
      <c r="Z97" s="126">
        <f>J97-R97</f>
        <v>-492.65746820076674</v>
      </c>
      <c r="AA97" s="130"/>
      <c r="AB97" s="130"/>
      <c r="AC97" s="137"/>
      <c r="AD97" s="137"/>
      <c r="AE97" s="137"/>
      <c r="AF97" s="137"/>
      <c r="AK97" s="171"/>
      <c r="AL97" s="171"/>
      <c r="AM97" s="171"/>
      <c r="AN97" s="171"/>
      <c r="AO97" s="171"/>
      <c r="AP97" s="171"/>
      <c r="AQ97" s="171"/>
      <c r="AR97" s="171"/>
      <c r="AS97" s="171"/>
    </row>
    <row r="98" spans="1:45" s="5" customFormat="1" ht="15.75">
      <c r="A98" s="132">
        <v>1</v>
      </c>
      <c r="B98" s="133" t="s">
        <v>14</v>
      </c>
      <c r="C98" s="133"/>
      <c r="D98" s="133"/>
      <c r="E98" s="133"/>
      <c r="F98" s="133"/>
      <c r="G98" s="193">
        <f>G99+G100</f>
        <v>9605</v>
      </c>
      <c r="H98" s="193">
        <f t="shared" ref="H98:V98" si="132">H99+H100</f>
        <v>8352</v>
      </c>
      <c r="I98" s="193">
        <f t="shared" si="132"/>
        <v>836</v>
      </c>
      <c r="J98" s="193">
        <f t="shared" si="132"/>
        <v>417</v>
      </c>
      <c r="K98" s="193">
        <f t="shared" si="132"/>
        <v>9162</v>
      </c>
      <c r="L98" s="193">
        <f t="shared" si="132"/>
        <v>8329</v>
      </c>
      <c r="M98" s="193">
        <f t="shared" si="132"/>
        <v>833</v>
      </c>
      <c r="N98" s="193">
        <f t="shared" si="132"/>
        <v>0</v>
      </c>
      <c r="O98" s="193">
        <f t="shared" si="132"/>
        <v>10660.184138874414</v>
      </c>
      <c r="P98" s="193">
        <f t="shared" si="132"/>
        <v>9269.5858520062538</v>
      </c>
      <c r="Q98" s="193">
        <f t="shared" si="132"/>
        <v>927.71899426784785</v>
      </c>
      <c r="R98" s="193">
        <f t="shared" si="132"/>
        <v>462.87929260031268</v>
      </c>
      <c r="S98" s="193">
        <f t="shared" si="132"/>
        <v>1055.1841388744137</v>
      </c>
      <c r="T98" s="193">
        <f t="shared" si="132"/>
        <v>917.58585200625328</v>
      </c>
      <c r="U98" s="193">
        <f t="shared" si="132"/>
        <v>91.718994267847847</v>
      </c>
      <c r="V98" s="193">
        <f t="shared" si="132"/>
        <v>45.879292600312667</v>
      </c>
      <c r="W98" s="125"/>
      <c r="X98" s="126"/>
      <c r="Y98" s="126"/>
      <c r="Z98" s="126"/>
      <c r="AA98" s="105"/>
      <c r="AB98" s="105">
        <f>SUM(J99-J98)</f>
        <v>0</v>
      </c>
      <c r="AC98" s="105">
        <f>SUM(O99-O98)</f>
        <v>-1055.1841388744142</v>
      </c>
      <c r="AD98" s="105">
        <f>SUM(P99-P98)</f>
        <v>-917.58585200625384</v>
      </c>
      <c r="AE98" s="105">
        <f>SUM(Q99-Q98)</f>
        <v>-91.718994267847847</v>
      </c>
      <c r="AF98" s="105"/>
      <c r="AK98" s="171"/>
      <c r="AL98" s="171"/>
      <c r="AM98" s="171"/>
      <c r="AN98" s="171"/>
      <c r="AO98" s="171"/>
      <c r="AP98" s="171"/>
      <c r="AQ98" s="171"/>
      <c r="AR98" s="171"/>
      <c r="AS98" s="171"/>
    </row>
    <row r="99" spans="1:45" s="50" customFormat="1" ht="38.25">
      <c r="A99" s="31" t="s">
        <v>179</v>
      </c>
      <c r="B99" s="32" t="s">
        <v>77</v>
      </c>
      <c r="C99" s="33" t="s">
        <v>251</v>
      </c>
      <c r="D99" s="33" t="s">
        <v>78</v>
      </c>
      <c r="E99" s="33" t="s">
        <v>79</v>
      </c>
      <c r="F99" s="33" t="s">
        <v>45</v>
      </c>
      <c r="G99" s="103">
        <f>H99+I99+J99</f>
        <v>9605</v>
      </c>
      <c r="H99" s="53">
        <v>8352</v>
      </c>
      <c r="I99" s="53">
        <v>836</v>
      </c>
      <c r="J99" s="53">
        <v>417</v>
      </c>
      <c r="K99" s="89">
        <f t="shared" si="102"/>
        <v>9162</v>
      </c>
      <c r="L99" s="53">
        <v>8329</v>
      </c>
      <c r="M99" s="53">
        <v>833</v>
      </c>
      <c r="N99" s="53"/>
      <c r="O99" s="89">
        <f t="shared" si="103"/>
        <v>9605</v>
      </c>
      <c r="P99" s="92">
        <f t="shared" si="104"/>
        <v>8352</v>
      </c>
      <c r="Q99" s="92">
        <f t="shared" si="105"/>
        <v>836</v>
      </c>
      <c r="R99" s="92">
        <f t="shared" si="106"/>
        <v>417</v>
      </c>
      <c r="S99" s="89">
        <f t="shared" si="107"/>
        <v>0</v>
      </c>
      <c r="T99" s="106"/>
      <c r="U99" s="106"/>
      <c r="V99" s="106"/>
      <c r="W99" s="93"/>
      <c r="X99" s="109"/>
      <c r="Y99" s="37">
        <v>1581</v>
      </c>
      <c r="Z99" s="55">
        <f>H99/$G99</f>
        <v>0.86954711087975012</v>
      </c>
      <c r="AA99" s="55">
        <f>I99/$G99</f>
        <v>8.7038001041124413E-2</v>
      </c>
      <c r="AB99" s="55">
        <f>J99/$G99</f>
        <v>4.3414888079125455E-2</v>
      </c>
      <c r="AC99" s="56">
        <f>ROUNDDOWN($Y99*Z99,0)+1</f>
        <v>1375</v>
      </c>
      <c r="AD99" s="56">
        <f t="shared" ref="AD99" si="133">ROUNDDOWN($Y99*AA99,0)</f>
        <v>137</v>
      </c>
      <c r="AE99" s="56">
        <f>ROUNDDOWN($Y99*AB99,0)+1</f>
        <v>69</v>
      </c>
      <c r="AF99" s="56">
        <f>Y99-AC99-AD99-AE99</f>
        <v>0</v>
      </c>
      <c r="AK99" s="171"/>
      <c r="AL99" s="171"/>
      <c r="AM99" s="171"/>
      <c r="AN99" s="171"/>
      <c r="AO99" s="171"/>
      <c r="AP99" s="171"/>
      <c r="AQ99" s="171"/>
      <c r="AR99" s="171"/>
      <c r="AS99" s="171"/>
    </row>
    <row r="100" spans="1:45" s="183" customFormat="1" ht="15.75">
      <c r="A100" s="192"/>
      <c r="B100" s="191" t="s">
        <v>277</v>
      </c>
      <c r="C100" s="190"/>
      <c r="D100" s="190"/>
      <c r="E100" s="190"/>
      <c r="F100" s="190"/>
      <c r="G100" s="189">
        <f t="shared" ref="G100:N100" si="134">SUM(G101:G101)</f>
        <v>0</v>
      </c>
      <c r="H100" s="189">
        <f t="shared" si="134"/>
        <v>0</v>
      </c>
      <c r="I100" s="189">
        <f t="shared" si="134"/>
        <v>0</v>
      </c>
      <c r="J100" s="189">
        <f t="shared" si="134"/>
        <v>0</v>
      </c>
      <c r="K100" s="189">
        <f t="shared" si="134"/>
        <v>0</v>
      </c>
      <c r="L100" s="189">
        <f t="shared" si="134"/>
        <v>0</v>
      </c>
      <c r="M100" s="189">
        <f t="shared" si="134"/>
        <v>0</v>
      </c>
      <c r="N100" s="189">
        <f t="shared" si="134"/>
        <v>0</v>
      </c>
      <c r="O100" s="189">
        <v>1055.1841388744137</v>
      </c>
      <c r="P100" s="189">
        <v>917.58585200625328</v>
      </c>
      <c r="Q100" s="189">
        <v>91.718994267847847</v>
      </c>
      <c r="R100" s="189">
        <v>45.879292600312667</v>
      </c>
      <c r="S100" s="189">
        <f>SUM(S101:S101)</f>
        <v>1055.1841388744137</v>
      </c>
      <c r="T100" s="189">
        <f>SUM(T101:T101)</f>
        <v>917.58585200625328</v>
      </c>
      <c r="U100" s="189">
        <f>SUM(U101:U101)</f>
        <v>91.718994267847847</v>
      </c>
      <c r="V100" s="189">
        <f>SUM(V101:V101)</f>
        <v>45.879292600312667</v>
      </c>
      <c r="W100" s="188"/>
      <c r="X100" s="187"/>
      <c r="Y100" s="186"/>
      <c r="Z100" s="185"/>
      <c r="AA100" s="185"/>
      <c r="AB100" s="185"/>
      <c r="AC100" s="184"/>
      <c r="AD100" s="184"/>
      <c r="AE100" s="184"/>
      <c r="AF100" s="184"/>
    </row>
    <row r="101" spans="1:45" s="50" customFormat="1" ht="25.5">
      <c r="A101" s="31"/>
      <c r="B101" s="167" t="s">
        <v>388</v>
      </c>
      <c r="C101" s="197" t="s">
        <v>298</v>
      </c>
      <c r="D101" s="197" t="s">
        <v>389</v>
      </c>
      <c r="E101" s="197" t="s">
        <v>390</v>
      </c>
      <c r="F101" s="97" t="s">
        <v>358</v>
      </c>
      <c r="G101" s="103">
        <f>H101+I101+J101</f>
        <v>0</v>
      </c>
      <c r="H101" s="53"/>
      <c r="I101" s="53"/>
      <c r="J101" s="53"/>
      <c r="K101" s="89">
        <f t="shared" ref="K101" si="135">L101+M101+N101</f>
        <v>0</v>
      </c>
      <c r="L101" s="53"/>
      <c r="M101" s="53"/>
      <c r="N101" s="53"/>
      <c r="O101" s="89">
        <f t="shared" ref="O101" si="136">P101+Q101+R101</f>
        <v>1055.1841388744137</v>
      </c>
      <c r="P101" s="92">
        <v>917.58585200625328</v>
      </c>
      <c r="Q101" s="92">
        <v>91.718994267847847</v>
      </c>
      <c r="R101" s="92">
        <v>45.879292600312667</v>
      </c>
      <c r="S101" s="89">
        <f t="shared" ref="S101" si="137">T101+U101+V101</f>
        <v>1055.1841388744137</v>
      </c>
      <c r="T101" s="136">
        <f t="shared" ref="T101" si="138">P101</f>
        <v>917.58585200625328</v>
      </c>
      <c r="U101" s="136">
        <f t="shared" ref="U101" si="139">Q101</f>
        <v>91.718994267847847</v>
      </c>
      <c r="V101" s="136">
        <f t="shared" ref="V101" si="140">R101</f>
        <v>45.879292600312667</v>
      </c>
      <c r="W101" s="61" t="s">
        <v>368</v>
      </c>
      <c r="X101" s="109"/>
      <c r="Y101" s="37">
        <v>88</v>
      </c>
      <c r="Z101" s="55" t="e">
        <f>H101/$G101</f>
        <v>#DIV/0!</v>
      </c>
      <c r="AA101" s="55" t="e">
        <f>I101/$G101</f>
        <v>#DIV/0!</v>
      </c>
      <c r="AB101" s="55" t="e">
        <f>J101/$G101</f>
        <v>#DIV/0!</v>
      </c>
      <c r="AC101" s="56" t="e">
        <f>ROUNDDOWN($Y101*Z101,0)+1</f>
        <v>#DIV/0!</v>
      </c>
      <c r="AD101" s="56" t="e">
        <f t="shared" ref="AD101" si="141">ROUNDDOWN($Y101*AA101,0)</f>
        <v>#DIV/0!</v>
      </c>
      <c r="AE101" s="56" t="e">
        <f>ROUNDDOWN($Y101*AB101,0)+1</f>
        <v>#DIV/0!</v>
      </c>
      <c r="AF101" s="56" t="e">
        <f>Y101-AC101-AD101-AE101</f>
        <v>#DIV/0!</v>
      </c>
      <c r="AK101" s="171"/>
      <c r="AL101" s="171"/>
      <c r="AM101" s="171"/>
      <c r="AN101" s="171"/>
      <c r="AO101" s="171"/>
      <c r="AP101" s="171"/>
      <c r="AQ101" s="171"/>
      <c r="AR101" s="171"/>
      <c r="AS101" s="171"/>
    </row>
    <row r="102" spans="1:45" s="5" customFormat="1" ht="15.75">
      <c r="A102" s="132">
        <v>2</v>
      </c>
      <c r="B102" s="133" t="s">
        <v>24</v>
      </c>
      <c r="C102" s="133"/>
      <c r="D102" s="133"/>
      <c r="E102" s="133"/>
      <c r="F102" s="133"/>
      <c r="G102" s="193">
        <f>SUM(G103:G105)</f>
        <v>11271</v>
      </c>
      <c r="H102" s="193">
        <f t="shared" ref="H102:V102" si="142">SUM(H103:H105)</f>
        <v>9801</v>
      </c>
      <c r="I102" s="193">
        <f t="shared" si="142"/>
        <v>981</v>
      </c>
      <c r="J102" s="193">
        <f t="shared" si="142"/>
        <v>489</v>
      </c>
      <c r="K102" s="193">
        <f t="shared" si="142"/>
        <v>9795</v>
      </c>
      <c r="L102" s="193">
        <f t="shared" si="142"/>
        <v>8913</v>
      </c>
      <c r="M102" s="193">
        <f t="shared" si="142"/>
        <v>882</v>
      </c>
      <c r="N102" s="193">
        <f t="shared" si="142"/>
        <v>0</v>
      </c>
      <c r="O102" s="193">
        <f t="shared" si="142"/>
        <v>12339.536105452651</v>
      </c>
      <c r="P102" s="193">
        <f t="shared" si="142"/>
        <v>10730.196693353546</v>
      </c>
      <c r="Q102" s="193">
        <f t="shared" si="142"/>
        <v>1073.8795774314274</v>
      </c>
      <c r="R102" s="193">
        <f t="shared" si="142"/>
        <v>535.45983466767734</v>
      </c>
      <c r="S102" s="193">
        <f t="shared" si="142"/>
        <v>1068.5361054526506</v>
      </c>
      <c r="T102" s="193">
        <f t="shared" si="142"/>
        <v>929.19669335354592</v>
      </c>
      <c r="U102" s="193">
        <f t="shared" si="142"/>
        <v>92.87957743142735</v>
      </c>
      <c r="V102" s="193">
        <f t="shared" si="142"/>
        <v>46.459834667677306</v>
      </c>
      <c r="W102" s="125"/>
      <c r="X102" s="126"/>
      <c r="Y102" s="126"/>
      <c r="Z102" s="126"/>
      <c r="AA102" s="105"/>
      <c r="AB102" s="105">
        <f>SUM(J103:J104)-J102</f>
        <v>0</v>
      </c>
      <c r="AC102" s="105">
        <f>SUM(O103:O104)-O102</f>
        <v>-1068.5361054526511</v>
      </c>
      <c r="AD102" s="105">
        <f>SUM(P103:P104)-P102</f>
        <v>-929.19669335354592</v>
      </c>
      <c r="AE102" s="105">
        <f>SUM(Q103:Q104)-Q102</f>
        <v>-92.879577431427379</v>
      </c>
      <c r="AF102" s="105"/>
      <c r="AK102" s="171"/>
      <c r="AL102" s="171"/>
      <c r="AM102" s="171"/>
      <c r="AN102" s="171"/>
      <c r="AO102" s="171"/>
      <c r="AP102" s="171"/>
      <c r="AQ102" s="171"/>
      <c r="AR102" s="171"/>
      <c r="AS102" s="171"/>
    </row>
    <row r="103" spans="1:45" s="50" customFormat="1" ht="38.25">
      <c r="A103" s="31" t="s">
        <v>181</v>
      </c>
      <c r="B103" s="32" t="s">
        <v>81</v>
      </c>
      <c r="C103" s="33" t="s">
        <v>251</v>
      </c>
      <c r="D103" s="33" t="s">
        <v>82</v>
      </c>
      <c r="E103" s="33" t="s">
        <v>83</v>
      </c>
      <c r="F103" s="33" t="s">
        <v>45</v>
      </c>
      <c r="G103" s="103">
        <f t="shared" ref="G103:G118" si="143">SUM(H103:J103)</f>
        <v>10134</v>
      </c>
      <c r="H103" s="53">
        <v>8812</v>
      </c>
      <c r="I103" s="53">
        <v>882</v>
      </c>
      <c r="J103" s="53">
        <v>440</v>
      </c>
      <c r="K103" s="89">
        <f t="shared" si="102"/>
        <v>9306</v>
      </c>
      <c r="L103" s="53">
        <v>8468</v>
      </c>
      <c r="M103" s="53">
        <v>838</v>
      </c>
      <c r="N103" s="53"/>
      <c r="O103" s="89">
        <f t="shared" si="103"/>
        <v>10134</v>
      </c>
      <c r="P103" s="92">
        <f t="shared" si="104"/>
        <v>8812</v>
      </c>
      <c r="Q103" s="92">
        <f t="shared" si="105"/>
        <v>882</v>
      </c>
      <c r="R103" s="92">
        <f t="shared" si="106"/>
        <v>440</v>
      </c>
      <c r="S103" s="89">
        <f t="shared" si="107"/>
        <v>0</v>
      </c>
      <c r="T103" s="106"/>
      <c r="U103" s="106"/>
      <c r="V103" s="106"/>
      <c r="W103" s="93"/>
      <c r="X103" s="109"/>
      <c r="Y103" s="37">
        <v>32</v>
      </c>
      <c r="Z103" s="55">
        <f>H103/$G103</f>
        <v>0.86954805604894414</v>
      </c>
      <c r="AA103" s="55">
        <f>I103/$G103</f>
        <v>8.7033747779751328E-2</v>
      </c>
      <c r="AB103" s="55">
        <f>J103/$G103</f>
        <v>4.3418196171304518E-2</v>
      </c>
      <c r="AC103" s="56">
        <f>ROUNDDOWN($Y103*Z103,0)+1</f>
        <v>28</v>
      </c>
      <c r="AD103" s="56">
        <f t="shared" ref="AD103" si="144">ROUNDDOWN($Y103*AA103,0)</f>
        <v>2</v>
      </c>
      <c r="AE103" s="56">
        <f>ROUNDDOWN($Y103*AB103,0)+1</f>
        <v>2</v>
      </c>
      <c r="AF103" s="56">
        <f>Y103-AC103-AD103-AE103</f>
        <v>0</v>
      </c>
      <c r="AK103" s="171"/>
      <c r="AL103" s="171"/>
      <c r="AM103" s="171"/>
      <c r="AN103" s="171"/>
      <c r="AO103" s="171"/>
      <c r="AP103" s="171"/>
      <c r="AQ103" s="171"/>
      <c r="AR103" s="171"/>
      <c r="AS103" s="171"/>
    </row>
    <row r="104" spans="1:45" s="50" customFormat="1" ht="25.5">
      <c r="A104" s="31" t="s">
        <v>182</v>
      </c>
      <c r="B104" s="32" t="s">
        <v>257</v>
      </c>
      <c r="C104" s="33" t="s">
        <v>84</v>
      </c>
      <c r="D104" s="33" t="s">
        <v>85</v>
      </c>
      <c r="E104" s="33" t="s">
        <v>83</v>
      </c>
      <c r="F104" s="53" t="s">
        <v>49</v>
      </c>
      <c r="G104" s="103">
        <f t="shared" si="143"/>
        <v>1137</v>
      </c>
      <c r="H104" s="53">
        <v>989</v>
      </c>
      <c r="I104" s="53">
        <v>99</v>
      </c>
      <c r="J104" s="53">
        <v>49</v>
      </c>
      <c r="K104" s="89">
        <f t="shared" si="102"/>
        <v>489</v>
      </c>
      <c r="L104" s="53">
        <v>445</v>
      </c>
      <c r="M104" s="53">
        <v>44</v>
      </c>
      <c r="N104" s="53"/>
      <c r="O104" s="89">
        <f t="shared" si="103"/>
        <v>1137</v>
      </c>
      <c r="P104" s="92">
        <f t="shared" si="104"/>
        <v>989</v>
      </c>
      <c r="Q104" s="92">
        <f t="shared" si="105"/>
        <v>99</v>
      </c>
      <c r="R104" s="92">
        <f t="shared" si="106"/>
        <v>49</v>
      </c>
      <c r="S104" s="89">
        <f t="shared" si="107"/>
        <v>0</v>
      </c>
      <c r="T104" s="106"/>
      <c r="U104" s="106"/>
      <c r="V104" s="106"/>
      <c r="W104" s="93"/>
      <c r="X104" s="109"/>
      <c r="Y104" s="37"/>
      <c r="Z104" s="55"/>
      <c r="AA104" s="55"/>
      <c r="AB104" s="55"/>
      <c r="AC104" s="56"/>
      <c r="AD104" s="56"/>
      <c r="AE104" s="56"/>
      <c r="AF104" s="56"/>
      <c r="AK104" s="171"/>
      <c r="AL104" s="171"/>
      <c r="AM104" s="171"/>
      <c r="AN104" s="171"/>
      <c r="AO104" s="171"/>
      <c r="AP104" s="171"/>
      <c r="AQ104" s="171"/>
      <c r="AR104" s="171"/>
      <c r="AS104" s="171"/>
    </row>
    <row r="105" spans="1:45" s="183" customFormat="1" ht="15.75">
      <c r="A105" s="192"/>
      <c r="B105" s="191" t="s">
        <v>277</v>
      </c>
      <c r="C105" s="190"/>
      <c r="D105" s="190"/>
      <c r="E105" s="190"/>
      <c r="F105" s="190"/>
      <c r="G105" s="189">
        <f t="shared" ref="G105:N105" si="145">SUM(G106:G106)</f>
        <v>0</v>
      </c>
      <c r="H105" s="189">
        <f t="shared" si="145"/>
        <v>0</v>
      </c>
      <c r="I105" s="189">
        <f t="shared" si="145"/>
        <v>0</v>
      </c>
      <c r="J105" s="189">
        <f t="shared" si="145"/>
        <v>0</v>
      </c>
      <c r="K105" s="189">
        <f t="shared" si="145"/>
        <v>0</v>
      </c>
      <c r="L105" s="189">
        <f t="shared" si="145"/>
        <v>0</v>
      </c>
      <c r="M105" s="189">
        <f t="shared" si="145"/>
        <v>0</v>
      </c>
      <c r="N105" s="189">
        <f t="shared" si="145"/>
        <v>0</v>
      </c>
      <c r="O105" s="189">
        <v>1068.5361054526506</v>
      </c>
      <c r="P105" s="189">
        <v>929.19669335354592</v>
      </c>
      <c r="Q105" s="189">
        <v>92.87957743142735</v>
      </c>
      <c r="R105" s="189">
        <v>46.459834667677306</v>
      </c>
      <c r="S105" s="189">
        <f>SUM(S106:S106)</f>
        <v>1068.5361054526506</v>
      </c>
      <c r="T105" s="189">
        <f>SUM(T106:T106)</f>
        <v>929.19669335354592</v>
      </c>
      <c r="U105" s="189">
        <f>SUM(U106:U106)</f>
        <v>92.87957743142735</v>
      </c>
      <c r="V105" s="189">
        <f>SUM(V106:V106)</f>
        <v>46.459834667677306</v>
      </c>
      <c r="W105" s="188"/>
      <c r="X105" s="187"/>
      <c r="Y105" s="186"/>
      <c r="Z105" s="185"/>
      <c r="AA105" s="185"/>
      <c r="AB105" s="185"/>
      <c r="AC105" s="184"/>
      <c r="AD105" s="184"/>
      <c r="AE105" s="184"/>
      <c r="AF105" s="184"/>
    </row>
    <row r="106" spans="1:45" s="50" customFormat="1" ht="25.5">
      <c r="A106" s="31"/>
      <c r="B106" s="32" t="s">
        <v>391</v>
      </c>
      <c r="C106" s="33" t="s">
        <v>84</v>
      </c>
      <c r="D106" s="33" t="s">
        <v>392</v>
      </c>
      <c r="E106" s="33" t="s">
        <v>83</v>
      </c>
      <c r="F106" s="53" t="s">
        <v>358</v>
      </c>
      <c r="G106" s="103">
        <f>H106+I106+J106</f>
        <v>0</v>
      </c>
      <c r="H106" s="53"/>
      <c r="I106" s="53"/>
      <c r="J106" s="53"/>
      <c r="K106" s="89">
        <f t="shared" ref="K106" si="146">L106+M106+N106</f>
        <v>0</v>
      </c>
      <c r="L106" s="53"/>
      <c r="M106" s="53"/>
      <c r="N106" s="53"/>
      <c r="O106" s="89">
        <f t="shared" ref="O106" si="147">P106+Q106+R106</f>
        <v>1068.5361054526506</v>
      </c>
      <c r="P106" s="92">
        <f>P105</f>
        <v>929.19669335354592</v>
      </c>
      <c r="Q106" s="92">
        <f t="shared" ref="Q106:R106" si="148">Q105</f>
        <v>92.87957743142735</v>
      </c>
      <c r="R106" s="92">
        <f t="shared" si="148"/>
        <v>46.459834667677306</v>
      </c>
      <c r="S106" s="89">
        <f t="shared" ref="S106" si="149">T106+U106+V106</f>
        <v>1068.5361054526506</v>
      </c>
      <c r="T106" s="106">
        <f t="shared" ref="T106" si="150">P106</f>
        <v>929.19669335354592</v>
      </c>
      <c r="U106" s="106">
        <f t="shared" ref="U106" si="151">Q106</f>
        <v>92.87957743142735</v>
      </c>
      <c r="V106" s="106">
        <f t="shared" ref="V106" si="152">R106</f>
        <v>46.459834667677306</v>
      </c>
      <c r="W106" s="93" t="s">
        <v>368</v>
      </c>
      <c r="X106" s="109"/>
      <c r="Y106" s="37">
        <v>88</v>
      </c>
      <c r="Z106" s="55" t="e">
        <f>H106/$G106</f>
        <v>#DIV/0!</v>
      </c>
      <c r="AA106" s="55" t="e">
        <f>I106/$G106</f>
        <v>#DIV/0!</v>
      </c>
      <c r="AB106" s="55" t="e">
        <f>J106/$G106</f>
        <v>#DIV/0!</v>
      </c>
      <c r="AC106" s="56" t="e">
        <f>ROUNDDOWN($Y106*Z106,0)+1</f>
        <v>#DIV/0!</v>
      </c>
      <c r="AD106" s="56" t="e">
        <f t="shared" ref="AD106" si="153">ROUNDDOWN($Y106*AA106,0)</f>
        <v>#DIV/0!</v>
      </c>
      <c r="AE106" s="56" t="e">
        <f>ROUNDDOWN($Y106*AB106,0)+1</f>
        <v>#DIV/0!</v>
      </c>
      <c r="AF106" s="56" t="e">
        <f>Y106-AC106-AD106-AE106</f>
        <v>#DIV/0!</v>
      </c>
      <c r="AK106" s="171"/>
      <c r="AL106" s="171"/>
      <c r="AM106" s="171"/>
      <c r="AN106" s="171"/>
      <c r="AO106" s="171"/>
      <c r="AP106" s="171"/>
      <c r="AQ106" s="171"/>
      <c r="AR106" s="171"/>
      <c r="AS106" s="171"/>
    </row>
    <row r="107" spans="1:45" s="5" customFormat="1" ht="15.75">
      <c r="A107" s="132">
        <v>3</v>
      </c>
      <c r="B107" s="133" t="s">
        <v>25</v>
      </c>
      <c r="C107" s="133"/>
      <c r="D107" s="133"/>
      <c r="E107" s="133"/>
      <c r="F107" s="133"/>
      <c r="G107" s="193">
        <f>SUM(G108:G112)</f>
        <v>10878</v>
      </c>
      <c r="H107" s="193">
        <f t="shared" ref="H107:V107" si="154">SUM(H108:H112)</f>
        <v>9459</v>
      </c>
      <c r="I107" s="193">
        <f t="shared" si="154"/>
        <v>947</v>
      </c>
      <c r="J107" s="193">
        <f t="shared" si="154"/>
        <v>472</v>
      </c>
      <c r="K107" s="193">
        <f t="shared" si="154"/>
        <v>9153.3950000000004</v>
      </c>
      <c r="L107" s="193">
        <f t="shared" si="154"/>
        <v>8193</v>
      </c>
      <c r="M107" s="193">
        <f t="shared" si="154"/>
        <v>818</v>
      </c>
      <c r="N107" s="193">
        <f t="shared" si="154"/>
        <v>142.39499999999998</v>
      </c>
      <c r="O107" s="193">
        <f t="shared" si="154"/>
        <v>11864.918658688237</v>
      </c>
      <c r="P107" s="193">
        <f t="shared" si="154"/>
        <v>10317.2223376285</v>
      </c>
      <c r="Q107" s="193">
        <f t="shared" si="154"/>
        <v>1032.7852041783126</v>
      </c>
      <c r="R107" s="193">
        <f t="shared" si="154"/>
        <v>514.91111688142496</v>
      </c>
      <c r="S107" s="193">
        <f t="shared" si="154"/>
        <v>986.9186586882372</v>
      </c>
      <c r="T107" s="193">
        <f t="shared" si="154"/>
        <v>858.22233762849964</v>
      </c>
      <c r="U107" s="193">
        <f t="shared" si="154"/>
        <v>85.785204178312569</v>
      </c>
      <c r="V107" s="193">
        <f t="shared" si="154"/>
        <v>42.911116881424988</v>
      </c>
      <c r="W107" s="125"/>
      <c r="X107" s="126"/>
      <c r="Y107" s="126"/>
      <c r="Z107" s="126"/>
      <c r="AA107" s="105"/>
      <c r="AB107" s="105">
        <f>SUM(J108:J109)-J107</f>
        <v>-320</v>
      </c>
      <c r="AC107" s="105"/>
      <c r="AD107" s="105"/>
      <c r="AE107" s="105"/>
      <c r="AF107" s="105"/>
      <c r="AK107" s="171"/>
      <c r="AL107" s="171"/>
      <c r="AM107" s="171"/>
      <c r="AN107" s="171"/>
      <c r="AO107" s="171"/>
      <c r="AP107" s="171"/>
      <c r="AQ107" s="171"/>
      <c r="AR107" s="171"/>
      <c r="AS107" s="171"/>
    </row>
    <row r="108" spans="1:45" s="50" customFormat="1" ht="102">
      <c r="A108" s="31" t="s">
        <v>186</v>
      </c>
      <c r="B108" s="32" t="s">
        <v>86</v>
      </c>
      <c r="C108" s="33" t="s">
        <v>251</v>
      </c>
      <c r="D108" s="33" t="s">
        <v>87</v>
      </c>
      <c r="E108" s="33" t="s">
        <v>88</v>
      </c>
      <c r="F108" s="33" t="s">
        <v>45</v>
      </c>
      <c r="G108" s="103">
        <f t="shared" si="143"/>
        <v>2434</v>
      </c>
      <c r="H108" s="53">
        <v>2116</v>
      </c>
      <c r="I108" s="53">
        <v>213</v>
      </c>
      <c r="J108" s="53">
        <v>105</v>
      </c>
      <c r="K108" s="89">
        <f t="shared" si="102"/>
        <v>2397.395</v>
      </c>
      <c r="L108" s="53">
        <v>2085</v>
      </c>
      <c r="M108" s="53">
        <v>209</v>
      </c>
      <c r="N108" s="53">
        <v>103.395</v>
      </c>
      <c r="O108" s="89">
        <f t="shared" si="103"/>
        <v>2434</v>
      </c>
      <c r="P108" s="92">
        <f t="shared" si="104"/>
        <v>2116</v>
      </c>
      <c r="Q108" s="92">
        <f t="shared" si="105"/>
        <v>213</v>
      </c>
      <c r="R108" s="92">
        <f t="shared" si="106"/>
        <v>105</v>
      </c>
      <c r="S108" s="89">
        <f t="shared" si="107"/>
        <v>0</v>
      </c>
      <c r="T108" s="106"/>
      <c r="U108" s="106"/>
      <c r="V108" s="106"/>
      <c r="W108" s="93"/>
      <c r="X108" s="109"/>
      <c r="Y108" s="37">
        <v>10</v>
      </c>
      <c r="Z108" s="55">
        <f>H108/$G108</f>
        <v>0.86935086277732132</v>
      </c>
      <c r="AA108" s="55">
        <f>I108/$G108</f>
        <v>8.7510271158586686E-2</v>
      </c>
      <c r="AB108" s="55">
        <f>J108/$G108</f>
        <v>4.3138866064092028E-2</v>
      </c>
      <c r="AC108" s="56">
        <f>ROUNDDOWN($Y108*Z108,0)+1</f>
        <v>9</v>
      </c>
      <c r="AD108" s="56">
        <f t="shared" ref="AD108" si="155">ROUNDDOWN($Y108*AA108,0)</f>
        <v>0</v>
      </c>
      <c r="AE108" s="56">
        <f>ROUNDDOWN($Y108*AB108,0)+1</f>
        <v>1</v>
      </c>
      <c r="AF108" s="56">
        <f>Y108-AC108-AD108-AE108</f>
        <v>0</v>
      </c>
      <c r="AK108" s="171"/>
      <c r="AL108" s="171"/>
      <c r="AM108" s="171"/>
      <c r="AN108" s="171"/>
      <c r="AO108" s="171"/>
      <c r="AP108" s="171"/>
      <c r="AQ108" s="171"/>
      <c r="AR108" s="171"/>
      <c r="AS108" s="171"/>
    </row>
    <row r="109" spans="1:45" s="50" customFormat="1" ht="38.25">
      <c r="A109" s="31" t="s">
        <v>187</v>
      </c>
      <c r="B109" s="32" t="s">
        <v>89</v>
      </c>
      <c r="C109" s="135" t="s">
        <v>285</v>
      </c>
      <c r="D109" s="135" t="s">
        <v>282</v>
      </c>
      <c r="E109" s="33" t="s">
        <v>88</v>
      </c>
      <c r="F109" s="33" t="s">
        <v>48</v>
      </c>
      <c r="G109" s="103">
        <f t="shared" si="143"/>
        <v>1089</v>
      </c>
      <c r="H109" s="53">
        <v>947</v>
      </c>
      <c r="I109" s="53">
        <v>95</v>
      </c>
      <c r="J109" s="53">
        <v>47</v>
      </c>
      <c r="K109" s="89">
        <f t="shared" si="102"/>
        <v>1076</v>
      </c>
      <c r="L109" s="53">
        <v>944</v>
      </c>
      <c r="M109" s="53">
        <v>93</v>
      </c>
      <c r="N109" s="53">
        <v>39</v>
      </c>
      <c r="O109" s="89">
        <f t="shared" si="103"/>
        <v>1089</v>
      </c>
      <c r="P109" s="92">
        <f t="shared" si="104"/>
        <v>947</v>
      </c>
      <c r="Q109" s="92">
        <f t="shared" si="105"/>
        <v>95</v>
      </c>
      <c r="R109" s="92">
        <f t="shared" si="106"/>
        <v>47</v>
      </c>
      <c r="S109" s="89">
        <f t="shared" si="107"/>
        <v>0</v>
      </c>
      <c r="T109" s="106"/>
      <c r="U109" s="106"/>
      <c r="V109" s="106"/>
      <c r="W109" s="93"/>
      <c r="X109" s="109"/>
      <c r="Y109" s="37"/>
      <c r="Z109" s="55"/>
      <c r="AA109" s="55"/>
      <c r="AB109" s="55"/>
      <c r="AC109" s="56"/>
      <c r="AD109" s="56"/>
      <c r="AE109" s="56"/>
      <c r="AF109" s="56"/>
      <c r="AK109" s="171"/>
      <c r="AL109" s="171"/>
      <c r="AM109" s="171"/>
      <c r="AN109" s="171"/>
      <c r="AO109" s="171"/>
      <c r="AP109" s="171"/>
      <c r="AQ109" s="171"/>
      <c r="AR109" s="171"/>
      <c r="AS109" s="171"/>
    </row>
    <row r="110" spans="1:45" s="50" customFormat="1" ht="76.5">
      <c r="A110" s="31" t="s">
        <v>188</v>
      </c>
      <c r="B110" s="32" t="s">
        <v>266</v>
      </c>
      <c r="C110" s="135" t="s">
        <v>284</v>
      </c>
      <c r="D110" s="135" t="s">
        <v>268</v>
      </c>
      <c r="E110" s="135" t="s">
        <v>343</v>
      </c>
      <c r="F110" s="53" t="s">
        <v>157</v>
      </c>
      <c r="G110" s="103">
        <f t="shared" si="143"/>
        <v>6899.5</v>
      </c>
      <c r="H110" s="53">
        <v>6000</v>
      </c>
      <c r="I110" s="53">
        <v>600</v>
      </c>
      <c r="J110" s="53">
        <v>299.5</v>
      </c>
      <c r="K110" s="89">
        <f t="shared" si="102"/>
        <v>5485</v>
      </c>
      <c r="L110" s="53">
        <v>4986</v>
      </c>
      <c r="M110" s="53">
        <v>499</v>
      </c>
      <c r="N110" s="53"/>
      <c r="O110" s="89">
        <f t="shared" si="103"/>
        <v>6899.5</v>
      </c>
      <c r="P110" s="92">
        <f t="shared" si="104"/>
        <v>6000</v>
      </c>
      <c r="Q110" s="92">
        <f t="shared" si="105"/>
        <v>600</v>
      </c>
      <c r="R110" s="92">
        <f t="shared" si="106"/>
        <v>299.5</v>
      </c>
      <c r="S110" s="89">
        <f t="shared" si="107"/>
        <v>0</v>
      </c>
      <c r="T110" s="106"/>
      <c r="U110" s="106"/>
      <c r="V110" s="106"/>
      <c r="W110" s="93"/>
      <c r="X110" s="109"/>
      <c r="Y110" s="37"/>
      <c r="Z110" s="55"/>
      <c r="AA110" s="55"/>
      <c r="AB110" s="55"/>
      <c r="AC110" s="56"/>
      <c r="AD110" s="56"/>
      <c r="AE110" s="56"/>
      <c r="AF110" s="56"/>
      <c r="AK110" s="171"/>
      <c r="AL110" s="171"/>
      <c r="AM110" s="171"/>
      <c r="AN110" s="171"/>
      <c r="AO110" s="171"/>
      <c r="AP110" s="171"/>
      <c r="AQ110" s="171"/>
      <c r="AR110" s="171"/>
      <c r="AS110" s="171"/>
    </row>
    <row r="111" spans="1:45" s="25" customFormat="1" ht="25.5">
      <c r="A111" s="31" t="s">
        <v>283</v>
      </c>
      <c r="B111" s="58" t="s">
        <v>290</v>
      </c>
      <c r="C111" s="60" t="s">
        <v>285</v>
      </c>
      <c r="D111" s="60" t="s">
        <v>291</v>
      </c>
      <c r="E111" s="135" t="s">
        <v>343</v>
      </c>
      <c r="F111" s="138" t="s">
        <v>49</v>
      </c>
      <c r="G111" s="103">
        <f t="shared" si="143"/>
        <v>455.5</v>
      </c>
      <c r="H111" s="59">
        <v>396</v>
      </c>
      <c r="I111" s="59">
        <v>39</v>
      </c>
      <c r="J111" s="59">
        <v>20.5</v>
      </c>
      <c r="K111" s="89">
        <f t="shared" si="102"/>
        <v>195</v>
      </c>
      <c r="L111" s="59">
        <v>178</v>
      </c>
      <c r="M111" s="59">
        <v>17</v>
      </c>
      <c r="N111" s="59"/>
      <c r="O111" s="89">
        <f t="shared" si="103"/>
        <v>455.5</v>
      </c>
      <c r="P111" s="92">
        <f t="shared" si="104"/>
        <v>396</v>
      </c>
      <c r="Q111" s="92">
        <f t="shared" si="105"/>
        <v>39</v>
      </c>
      <c r="R111" s="92">
        <f t="shared" si="106"/>
        <v>20.5</v>
      </c>
      <c r="S111" s="89">
        <f t="shared" si="107"/>
        <v>0</v>
      </c>
      <c r="T111" s="136"/>
      <c r="U111" s="136"/>
      <c r="V111" s="136"/>
      <c r="W111" s="61"/>
      <c r="X111" s="62"/>
      <c r="Y111" s="63"/>
      <c r="Z111" s="64"/>
      <c r="AA111" s="64"/>
      <c r="AB111" s="64"/>
      <c r="AC111" s="65"/>
      <c r="AD111" s="65"/>
      <c r="AE111" s="65"/>
      <c r="AF111" s="65"/>
      <c r="AK111" s="171"/>
      <c r="AL111" s="171"/>
      <c r="AM111" s="171"/>
      <c r="AN111" s="171"/>
      <c r="AO111" s="171"/>
      <c r="AP111" s="171"/>
      <c r="AQ111" s="171"/>
      <c r="AR111" s="171"/>
      <c r="AS111" s="171"/>
    </row>
    <row r="112" spans="1:45" s="183" customFormat="1" ht="15.75">
      <c r="A112" s="192"/>
      <c r="B112" s="191" t="s">
        <v>277</v>
      </c>
      <c r="C112" s="190"/>
      <c r="D112" s="190"/>
      <c r="E112" s="190"/>
      <c r="F112" s="190"/>
      <c r="G112" s="189">
        <f t="shared" ref="G112:N112" si="156">SUM(G113:G113)</f>
        <v>0</v>
      </c>
      <c r="H112" s="189">
        <f t="shared" si="156"/>
        <v>0</v>
      </c>
      <c r="I112" s="189">
        <f t="shared" si="156"/>
        <v>0</v>
      </c>
      <c r="J112" s="189">
        <f t="shared" si="156"/>
        <v>0</v>
      </c>
      <c r="K112" s="189">
        <f t="shared" si="156"/>
        <v>0</v>
      </c>
      <c r="L112" s="189">
        <f t="shared" si="156"/>
        <v>0</v>
      </c>
      <c r="M112" s="189">
        <f t="shared" si="156"/>
        <v>0</v>
      </c>
      <c r="N112" s="189">
        <f t="shared" si="156"/>
        <v>0</v>
      </c>
      <c r="O112" s="189">
        <v>986.9186586882372</v>
      </c>
      <c r="P112" s="189">
        <v>858.22233762849964</v>
      </c>
      <c r="Q112" s="189">
        <v>85.785204178312569</v>
      </c>
      <c r="R112" s="189">
        <v>42.911116881424988</v>
      </c>
      <c r="S112" s="189">
        <f>SUM(S113:S113)</f>
        <v>986.9186586882372</v>
      </c>
      <c r="T112" s="189">
        <f>SUM(T113:T113)</f>
        <v>858.22233762849964</v>
      </c>
      <c r="U112" s="189">
        <f>SUM(U113:U113)</f>
        <v>85.785204178312569</v>
      </c>
      <c r="V112" s="189">
        <f>SUM(V113:V113)</f>
        <v>42.911116881424988</v>
      </c>
      <c r="W112" s="188"/>
      <c r="X112" s="187"/>
      <c r="Y112" s="186"/>
      <c r="Z112" s="185"/>
      <c r="AA112" s="185"/>
      <c r="AB112" s="185"/>
      <c r="AC112" s="184"/>
      <c r="AD112" s="184"/>
      <c r="AE112" s="184"/>
      <c r="AF112" s="184"/>
    </row>
    <row r="113" spans="1:45" s="50" customFormat="1" ht="25.5">
      <c r="A113" s="31"/>
      <c r="B113" s="167" t="s">
        <v>393</v>
      </c>
      <c r="C113" s="197" t="s">
        <v>285</v>
      </c>
      <c r="D113" s="197" t="s">
        <v>394</v>
      </c>
      <c r="E113" s="135" t="s">
        <v>343</v>
      </c>
      <c r="F113" s="33" t="s">
        <v>358</v>
      </c>
      <c r="G113" s="103">
        <f>H113+I113+J113</f>
        <v>0</v>
      </c>
      <c r="H113" s="53"/>
      <c r="I113" s="53"/>
      <c r="J113" s="53"/>
      <c r="K113" s="89">
        <f t="shared" ref="K113" si="157">L113+M113+N113</f>
        <v>0</v>
      </c>
      <c r="L113" s="53"/>
      <c r="M113" s="53"/>
      <c r="N113" s="53"/>
      <c r="O113" s="89">
        <f t="shared" ref="O113" si="158">P113+Q113+R113</f>
        <v>986.9186586882372</v>
      </c>
      <c r="P113" s="92">
        <f>P112</f>
        <v>858.22233762849964</v>
      </c>
      <c r="Q113" s="92">
        <f t="shared" ref="Q113:R113" si="159">Q112</f>
        <v>85.785204178312569</v>
      </c>
      <c r="R113" s="92">
        <f t="shared" si="159"/>
        <v>42.911116881424988</v>
      </c>
      <c r="S113" s="89">
        <f t="shared" ref="S113" si="160">T113+U113+V113</f>
        <v>986.9186586882372</v>
      </c>
      <c r="T113" s="106">
        <f t="shared" ref="T113" si="161">P113</f>
        <v>858.22233762849964</v>
      </c>
      <c r="U113" s="106">
        <f t="shared" ref="U113" si="162">Q113</f>
        <v>85.785204178312569</v>
      </c>
      <c r="V113" s="106">
        <f t="shared" ref="V113" si="163">R113</f>
        <v>42.911116881424988</v>
      </c>
      <c r="W113" s="93" t="s">
        <v>368</v>
      </c>
      <c r="X113" s="109"/>
      <c r="Y113" s="37">
        <v>88</v>
      </c>
      <c r="Z113" s="55" t="e">
        <f>H113/$G113</f>
        <v>#DIV/0!</v>
      </c>
      <c r="AA113" s="55" t="e">
        <f>I113/$G113</f>
        <v>#DIV/0!</v>
      </c>
      <c r="AB113" s="55" t="e">
        <f>J113/$G113</f>
        <v>#DIV/0!</v>
      </c>
      <c r="AC113" s="56" t="e">
        <f>ROUNDDOWN($Y113*Z113,0)+1</f>
        <v>#DIV/0!</v>
      </c>
      <c r="AD113" s="56" t="e">
        <f t="shared" ref="AD113" si="164">ROUNDDOWN($Y113*AA113,0)</f>
        <v>#DIV/0!</v>
      </c>
      <c r="AE113" s="56" t="e">
        <f>ROUNDDOWN($Y113*AB113,0)+1</f>
        <v>#DIV/0!</v>
      </c>
      <c r="AF113" s="56" t="e">
        <f>Y113-AC113-AD113-AE113</f>
        <v>#DIV/0!</v>
      </c>
      <c r="AK113" s="171"/>
      <c r="AL113" s="171"/>
      <c r="AM113" s="171"/>
      <c r="AN113" s="171"/>
      <c r="AO113" s="171"/>
      <c r="AP113" s="171"/>
      <c r="AQ113" s="171"/>
      <c r="AR113" s="171"/>
      <c r="AS113" s="171"/>
    </row>
    <row r="114" spans="1:45" s="5" customFormat="1" ht="15.75">
      <c r="A114" s="132">
        <v>5</v>
      </c>
      <c r="B114" s="133" t="s">
        <v>27</v>
      </c>
      <c r="C114" s="133"/>
      <c r="D114" s="133"/>
      <c r="E114" s="133"/>
      <c r="F114" s="133"/>
      <c r="G114" s="193">
        <f>SUM(G115:G119)</f>
        <v>10989</v>
      </c>
      <c r="H114" s="193">
        <f t="shared" ref="H114:V114" si="165">SUM(H115:H119)</f>
        <v>9555</v>
      </c>
      <c r="I114" s="193">
        <f t="shared" si="165"/>
        <v>956</v>
      </c>
      <c r="J114" s="193">
        <f t="shared" si="165"/>
        <v>478</v>
      </c>
      <c r="K114" s="193">
        <f t="shared" si="165"/>
        <v>9368.1</v>
      </c>
      <c r="L114" s="193">
        <f t="shared" si="165"/>
        <v>8372</v>
      </c>
      <c r="M114" s="193">
        <f t="shared" si="165"/>
        <v>778</v>
      </c>
      <c r="N114" s="193">
        <f t="shared" si="165"/>
        <v>218.1</v>
      </c>
      <c r="O114" s="193">
        <f t="shared" si="165"/>
        <v>12005.520252676582</v>
      </c>
      <c r="P114" s="193">
        <f t="shared" si="165"/>
        <v>10438.963819934625</v>
      </c>
      <c r="Q114" s="193">
        <f t="shared" si="165"/>
        <v>1044.3582417452271</v>
      </c>
      <c r="R114" s="193">
        <f t="shared" si="165"/>
        <v>522.19819099673123</v>
      </c>
      <c r="S114" s="193">
        <f t="shared" si="165"/>
        <v>1016.5202526765834</v>
      </c>
      <c r="T114" s="193">
        <f t="shared" si="165"/>
        <v>883.96381993462501</v>
      </c>
      <c r="U114" s="193">
        <f t="shared" si="165"/>
        <v>88.358241745227147</v>
      </c>
      <c r="V114" s="193">
        <f t="shared" si="165"/>
        <v>44.198190996731249</v>
      </c>
      <c r="W114" s="125"/>
      <c r="X114" s="126"/>
      <c r="Y114" s="126"/>
      <c r="Z114" s="126"/>
      <c r="AA114" s="105"/>
      <c r="AB114" s="105">
        <f>SUM(J115:J118)-J114</f>
        <v>0</v>
      </c>
      <c r="AC114" s="105">
        <f>SUM(O115:O118)-O114</f>
        <v>-1016.5202526765825</v>
      </c>
      <c r="AD114" s="105">
        <f>SUM(P115:P118)-P114</f>
        <v>-883.96381993462455</v>
      </c>
      <c r="AE114" s="105">
        <f>SUM(Q115:Q118)-Q114</f>
        <v>-88.358241745227133</v>
      </c>
      <c r="AF114" s="105">
        <f>SUM(R115:R118)-R114</f>
        <v>-44.198190996731228</v>
      </c>
      <c r="AK114" s="171"/>
      <c r="AL114" s="171"/>
      <c r="AM114" s="171"/>
      <c r="AN114" s="171"/>
      <c r="AO114" s="171"/>
      <c r="AP114" s="171"/>
      <c r="AQ114" s="171"/>
      <c r="AR114" s="171"/>
      <c r="AS114" s="171"/>
    </row>
    <row r="115" spans="1:45" s="50" customFormat="1" ht="76.5">
      <c r="A115" s="31" t="s">
        <v>194</v>
      </c>
      <c r="B115" s="32" t="s">
        <v>91</v>
      </c>
      <c r="C115" s="33" t="s">
        <v>251</v>
      </c>
      <c r="D115" s="33" t="s">
        <v>99</v>
      </c>
      <c r="E115" s="33" t="s">
        <v>92</v>
      </c>
      <c r="F115" s="33" t="s">
        <v>45</v>
      </c>
      <c r="G115" s="103">
        <f t="shared" si="143"/>
        <v>2364</v>
      </c>
      <c r="H115" s="53">
        <v>2055</v>
      </c>
      <c r="I115" s="53">
        <v>206</v>
      </c>
      <c r="J115" s="53">
        <v>103</v>
      </c>
      <c r="K115" s="89">
        <f t="shared" si="102"/>
        <v>2348.1</v>
      </c>
      <c r="L115" s="53">
        <v>2042</v>
      </c>
      <c r="M115" s="53">
        <v>204</v>
      </c>
      <c r="N115" s="53">
        <v>102.1</v>
      </c>
      <c r="O115" s="89">
        <f t="shared" si="103"/>
        <v>2364</v>
      </c>
      <c r="P115" s="92">
        <f t="shared" si="104"/>
        <v>2055</v>
      </c>
      <c r="Q115" s="92">
        <f t="shared" si="105"/>
        <v>206</v>
      </c>
      <c r="R115" s="92">
        <f t="shared" si="106"/>
        <v>103</v>
      </c>
      <c r="S115" s="89">
        <f t="shared" si="107"/>
        <v>0</v>
      </c>
      <c r="T115" s="106"/>
      <c r="U115" s="106"/>
      <c r="V115" s="106"/>
      <c r="W115" s="93"/>
      <c r="X115" s="109"/>
      <c r="Y115" s="37">
        <v>7</v>
      </c>
      <c r="Z115" s="55">
        <f>H115/$G115</f>
        <v>0.86928934010152281</v>
      </c>
      <c r="AA115" s="55">
        <f>I115/$G115</f>
        <v>8.7140439932318112E-2</v>
      </c>
      <c r="AB115" s="55">
        <f>J115/$G115</f>
        <v>4.3570219966159056E-2</v>
      </c>
      <c r="AC115" s="56">
        <f>ROUNDDOWN($Y115*Z115,0)+1</f>
        <v>7</v>
      </c>
      <c r="AD115" s="56">
        <f t="shared" ref="AD115" si="166">ROUNDDOWN($Y115*AA115,0)</f>
        <v>0</v>
      </c>
      <c r="AE115" s="56">
        <f>ROUNDDOWN($Y115*AB115,0)</f>
        <v>0</v>
      </c>
      <c r="AF115" s="56">
        <f>Y115-AC115-AD115-AE115</f>
        <v>0</v>
      </c>
      <c r="AK115" s="171"/>
      <c r="AL115" s="171"/>
      <c r="AM115" s="171"/>
      <c r="AN115" s="171"/>
      <c r="AO115" s="171"/>
      <c r="AP115" s="171"/>
      <c r="AQ115" s="171"/>
      <c r="AR115" s="171"/>
      <c r="AS115" s="171"/>
    </row>
    <row r="116" spans="1:45" s="50" customFormat="1" ht="51">
      <c r="A116" s="31" t="s">
        <v>195</v>
      </c>
      <c r="B116" s="32" t="s">
        <v>94</v>
      </c>
      <c r="C116" s="33" t="s">
        <v>97</v>
      </c>
      <c r="D116" s="33" t="s">
        <v>98</v>
      </c>
      <c r="E116" s="33" t="s">
        <v>92</v>
      </c>
      <c r="F116" s="33" t="s">
        <v>45</v>
      </c>
      <c r="G116" s="103">
        <f t="shared" si="143"/>
        <v>1380</v>
      </c>
      <c r="H116" s="53">
        <v>1200</v>
      </c>
      <c r="I116" s="53">
        <v>120</v>
      </c>
      <c r="J116" s="53">
        <v>60</v>
      </c>
      <c r="K116" s="89">
        <f t="shared" si="102"/>
        <v>1376</v>
      </c>
      <c r="L116" s="53">
        <v>1197</v>
      </c>
      <c r="M116" s="53">
        <v>120</v>
      </c>
      <c r="N116" s="53">
        <v>59</v>
      </c>
      <c r="O116" s="89">
        <f t="shared" si="103"/>
        <v>1380</v>
      </c>
      <c r="P116" s="92">
        <f t="shared" si="104"/>
        <v>1200</v>
      </c>
      <c r="Q116" s="92">
        <f t="shared" si="105"/>
        <v>120</v>
      </c>
      <c r="R116" s="92">
        <f t="shared" si="106"/>
        <v>60</v>
      </c>
      <c r="S116" s="89">
        <f t="shared" si="107"/>
        <v>0</v>
      </c>
      <c r="T116" s="106"/>
      <c r="U116" s="106"/>
      <c r="V116" s="106"/>
      <c r="W116" s="93"/>
      <c r="X116" s="109"/>
      <c r="Y116" s="37"/>
      <c r="Z116" s="55"/>
      <c r="AA116" s="55"/>
      <c r="AB116" s="55"/>
      <c r="AC116" s="56"/>
      <c r="AD116" s="56"/>
      <c r="AE116" s="56"/>
      <c r="AF116" s="56"/>
      <c r="AK116" s="171"/>
      <c r="AL116" s="171"/>
      <c r="AM116" s="171"/>
      <c r="AN116" s="171"/>
      <c r="AO116" s="171"/>
      <c r="AP116" s="171"/>
      <c r="AQ116" s="171"/>
      <c r="AR116" s="171"/>
      <c r="AS116" s="171"/>
    </row>
    <row r="117" spans="1:45" s="50" customFormat="1" ht="51">
      <c r="A117" s="31" t="s">
        <v>196</v>
      </c>
      <c r="B117" s="32" t="s">
        <v>93</v>
      </c>
      <c r="C117" s="33" t="s">
        <v>97</v>
      </c>
      <c r="D117" s="33" t="s">
        <v>98</v>
      </c>
      <c r="E117" s="33" t="s">
        <v>92</v>
      </c>
      <c r="F117" s="33" t="s">
        <v>48</v>
      </c>
      <c r="G117" s="103">
        <f t="shared" si="143"/>
        <v>1380</v>
      </c>
      <c r="H117" s="53">
        <v>1200</v>
      </c>
      <c r="I117" s="53">
        <v>120</v>
      </c>
      <c r="J117" s="53">
        <v>60</v>
      </c>
      <c r="K117" s="89">
        <f t="shared" si="102"/>
        <v>1311</v>
      </c>
      <c r="L117" s="53">
        <v>1140</v>
      </c>
      <c r="M117" s="53">
        <v>114</v>
      </c>
      <c r="N117" s="53">
        <v>57</v>
      </c>
      <c r="O117" s="89">
        <f t="shared" si="103"/>
        <v>1380</v>
      </c>
      <c r="P117" s="92">
        <f t="shared" si="104"/>
        <v>1200</v>
      </c>
      <c r="Q117" s="92">
        <f t="shared" si="105"/>
        <v>120</v>
      </c>
      <c r="R117" s="92">
        <f t="shared" si="106"/>
        <v>60</v>
      </c>
      <c r="S117" s="89">
        <f t="shared" si="107"/>
        <v>0</v>
      </c>
      <c r="T117" s="106"/>
      <c r="U117" s="106"/>
      <c r="V117" s="106"/>
      <c r="W117" s="93"/>
      <c r="X117" s="109"/>
      <c r="Y117" s="37"/>
      <c r="Z117" s="55"/>
      <c r="AA117" s="55"/>
      <c r="AB117" s="55"/>
      <c r="AC117" s="56"/>
      <c r="AD117" s="56"/>
      <c r="AE117" s="56"/>
      <c r="AF117" s="56"/>
      <c r="AK117" s="171"/>
      <c r="AL117" s="171"/>
      <c r="AM117" s="171"/>
      <c r="AN117" s="171"/>
      <c r="AO117" s="171"/>
      <c r="AP117" s="171"/>
      <c r="AQ117" s="171"/>
      <c r="AR117" s="171"/>
      <c r="AS117" s="171"/>
    </row>
    <row r="118" spans="1:45" s="50" customFormat="1" ht="38.25">
      <c r="A118" s="31" t="s">
        <v>197</v>
      </c>
      <c r="B118" s="32" t="s">
        <v>95</v>
      </c>
      <c r="C118" s="33" t="s">
        <v>251</v>
      </c>
      <c r="D118" s="33" t="s">
        <v>96</v>
      </c>
      <c r="E118" s="33" t="s">
        <v>92</v>
      </c>
      <c r="F118" s="33" t="s">
        <v>48</v>
      </c>
      <c r="G118" s="103">
        <f t="shared" si="143"/>
        <v>5865</v>
      </c>
      <c r="H118" s="53">
        <v>5100</v>
      </c>
      <c r="I118" s="53">
        <v>510</v>
      </c>
      <c r="J118" s="53">
        <v>255</v>
      </c>
      <c r="K118" s="89">
        <f t="shared" si="102"/>
        <v>4333</v>
      </c>
      <c r="L118" s="53">
        <v>3993</v>
      </c>
      <c r="M118" s="53">
        <v>340</v>
      </c>
      <c r="N118" s="53"/>
      <c r="O118" s="89">
        <f t="shared" si="103"/>
        <v>5865</v>
      </c>
      <c r="P118" s="92">
        <f t="shared" si="104"/>
        <v>5100</v>
      </c>
      <c r="Q118" s="92">
        <f t="shared" si="105"/>
        <v>510</v>
      </c>
      <c r="R118" s="92">
        <f t="shared" si="106"/>
        <v>255</v>
      </c>
      <c r="S118" s="89">
        <f t="shared" si="107"/>
        <v>0</v>
      </c>
      <c r="T118" s="106"/>
      <c r="U118" s="106"/>
      <c r="V118" s="106"/>
      <c r="W118" s="93"/>
      <c r="X118" s="109"/>
      <c r="Y118" s="37"/>
      <c r="Z118" s="55"/>
      <c r="AA118" s="55"/>
      <c r="AB118" s="55"/>
      <c r="AC118" s="56"/>
      <c r="AD118" s="56"/>
      <c r="AE118" s="56"/>
      <c r="AF118" s="56"/>
      <c r="AK118" s="171"/>
      <c r="AL118" s="171"/>
      <c r="AM118" s="171"/>
      <c r="AN118" s="171"/>
      <c r="AO118" s="171"/>
      <c r="AP118" s="171"/>
      <c r="AQ118" s="171"/>
      <c r="AR118" s="171"/>
      <c r="AS118" s="171"/>
    </row>
    <row r="119" spans="1:45" s="183" customFormat="1" ht="15.75">
      <c r="A119" s="192"/>
      <c r="B119" s="191" t="s">
        <v>277</v>
      </c>
      <c r="C119" s="190"/>
      <c r="D119" s="190"/>
      <c r="E119" s="190"/>
      <c r="F119" s="190"/>
      <c r="G119" s="189">
        <f>SUM(G120:G121)</f>
        <v>0</v>
      </c>
      <c r="H119" s="189">
        <f t="shared" ref="H119" si="167">SUM(H120:H121)</f>
        <v>0</v>
      </c>
      <c r="I119" s="189">
        <f t="shared" ref="I119" si="168">SUM(I120:I121)</f>
        <v>0</v>
      </c>
      <c r="J119" s="189">
        <f t="shared" ref="J119" si="169">SUM(J120:J121)</f>
        <v>0</v>
      </c>
      <c r="K119" s="189">
        <f t="shared" ref="K119" si="170">SUM(K120:K121)</f>
        <v>0</v>
      </c>
      <c r="L119" s="189">
        <f t="shared" ref="L119" si="171">SUM(L120:L121)</f>
        <v>0</v>
      </c>
      <c r="M119" s="189">
        <f t="shared" ref="M119" si="172">SUM(M120:M121)</f>
        <v>0</v>
      </c>
      <c r="N119" s="189">
        <f t="shared" ref="N119" si="173">SUM(N120:N121)</f>
        <v>0</v>
      </c>
      <c r="O119" s="189">
        <v>1016.5202526765834</v>
      </c>
      <c r="P119" s="189">
        <v>883.96381993462501</v>
      </c>
      <c r="Q119" s="189">
        <v>88.358241745227147</v>
      </c>
      <c r="R119" s="189">
        <v>44.198190996731249</v>
      </c>
      <c r="S119" s="189">
        <f t="shared" ref="S119" si="174">SUM(S120:S121)</f>
        <v>1016.5202526765834</v>
      </c>
      <c r="T119" s="189">
        <f t="shared" ref="T119" si="175">SUM(T120:T121)</f>
        <v>883.96381993462501</v>
      </c>
      <c r="U119" s="189">
        <f t="shared" ref="U119" si="176">SUM(U120:U121)</f>
        <v>88.358241745227147</v>
      </c>
      <c r="V119" s="189">
        <f t="shared" ref="V119" si="177">SUM(V120:V121)</f>
        <v>44.198190996731249</v>
      </c>
      <c r="W119" s="188"/>
      <c r="X119" s="187"/>
      <c r="Y119" s="186"/>
      <c r="Z119" s="185"/>
      <c r="AA119" s="185"/>
      <c r="AB119" s="185"/>
      <c r="AC119" s="184"/>
      <c r="AD119" s="184"/>
      <c r="AE119" s="184"/>
      <c r="AF119" s="184"/>
    </row>
    <row r="120" spans="1:45" s="50" customFormat="1" ht="51">
      <c r="A120" s="31"/>
      <c r="B120" s="32" t="s">
        <v>395</v>
      </c>
      <c r="C120" s="33" t="s">
        <v>313</v>
      </c>
      <c r="D120" s="33" t="s">
        <v>377</v>
      </c>
      <c r="E120" s="33" t="s">
        <v>27</v>
      </c>
      <c r="F120" s="33" t="s">
        <v>358</v>
      </c>
      <c r="G120" s="103">
        <f>H120+I120+J120</f>
        <v>0</v>
      </c>
      <c r="H120" s="53"/>
      <c r="I120" s="53"/>
      <c r="J120" s="53"/>
      <c r="K120" s="89">
        <f t="shared" ref="K120:K121" si="178">L120+M120+N120</f>
        <v>0</v>
      </c>
      <c r="L120" s="53"/>
      <c r="M120" s="53"/>
      <c r="N120" s="53"/>
      <c r="O120" s="89">
        <f t="shared" ref="O120:O121" si="179">P120+Q120+R120</f>
        <v>749</v>
      </c>
      <c r="P120" s="92">
        <v>652</v>
      </c>
      <c r="Q120" s="92">
        <v>65</v>
      </c>
      <c r="R120" s="92">
        <v>32</v>
      </c>
      <c r="S120" s="89">
        <f t="shared" ref="S120:S121" si="180">T120+U120+V120</f>
        <v>749</v>
      </c>
      <c r="T120" s="106">
        <f t="shared" ref="T120:T121" si="181">P120</f>
        <v>652</v>
      </c>
      <c r="U120" s="106">
        <f t="shared" ref="U120:U121" si="182">Q120</f>
        <v>65</v>
      </c>
      <c r="V120" s="106">
        <f t="shared" ref="V120:V121" si="183">R120</f>
        <v>32</v>
      </c>
      <c r="W120" s="93" t="s">
        <v>368</v>
      </c>
      <c r="X120" s="109"/>
      <c r="Y120" s="37">
        <v>88</v>
      </c>
      <c r="Z120" s="55" t="e">
        <f>H120/$G120</f>
        <v>#DIV/0!</v>
      </c>
      <c r="AA120" s="55" t="e">
        <f>I120/$G120</f>
        <v>#DIV/0!</v>
      </c>
      <c r="AB120" s="55" t="e">
        <f>J120/$G120</f>
        <v>#DIV/0!</v>
      </c>
      <c r="AC120" s="56" t="e">
        <f>ROUNDDOWN($Y120*Z120,0)+1</f>
        <v>#DIV/0!</v>
      </c>
      <c r="AD120" s="56" t="e">
        <f t="shared" ref="AD120" si="184">ROUNDDOWN($Y120*AA120,0)</f>
        <v>#DIV/0!</v>
      </c>
      <c r="AE120" s="56" t="e">
        <f>ROUNDDOWN($Y120*AB120,0)+1</f>
        <v>#DIV/0!</v>
      </c>
      <c r="AF120" s="56" t="e">
        <f>Y120-AC120-AD120-AE120</f>
        <v>#DIV/0!</v>
      </c>
      <c r="AK120" s="171"/>
      <c r="AL120" s="171"/>
      <c r="AM120" s="171"/>
      <c r="AN120" s="171"/>
      <c r="AO120" s="171"/>
      <c r="AP120" s="171"/>
      <c r="AQ120" s="171"/>
      <c r="AR120" s="171"/>
      <c r="AS120" s="171"/>
    </row>
    <row r="121" spans="1:45" s="50" customFormat="1" ht="25.5">
      <c r="A121" s="31"/>
      <c r="B121" s="32" t="s">
        <v>396</v>
      </c>
      <c r="C121" s="33" t="s">
        <v>313</v>
      </c>
      <c r="D121" s="33" t="s">
        <v>397</v>
      </c>
      <c r="E121" s="33" t="s">
        <v>27</v>
      </c>
      <c r="F121" s="33" t="s">
        <v>358</v>
      </c>
      <c r="G121" s="103">
        <f>H121+I121+J121</f>
        <v>0</v>
      </c>
      <c r="H121" s="53"/>
      <c r="I121" s="53"/>
      <c r="J121" s="53"/>
      <c r="K121" s="89">
        <f t="shared" si="178"/>
        <v>0</v>
      </c>
      <c r="L121" s="53"/>
      <c r="M121" s="53"/>
      <c r="N121" s="53"/>
      <c r="O121" s="89">
        <f t="shared" si="179"/>
        <v>267.52025267658337</v>
      </c>
      <c r="P121" s="92">
        <f>P119-P120</f>
        <v>231.96381993462501</v>
      </c>
      <c r="Q121" s="92">
        <f t="shared" ref="Q121:R121" si="185">Q119-Q120</f>
        <v>23.358241745227147</v>
      </c>
      <c r="R121" s="92">
        <f t="shared" si="185"/>
        <v>12.198190996731249</v>
      </c>
      <c r="S121" s="89">
        <f t="shared" si="180"/>
        <v>267.52025267658337</v>
      </c>
      <c r="T121" s="106">
        <f t="shared" si="181"/>
        <v>231.96381993462501</v>
      </c>
      <c r="U121" s="106">
        <f t="shared" si="182"/>
        <v>23.358241745227147</v>
      </c>
      <c r="V121" s="106">
        <f t="shared" si="183"/>
        <v>12.198190996731249</v>
      </c>
      <c r="W121" s="93" t="s">
        <v>368</v>
      </c>
      <c r="X121" s="109"/>
      <c r="Y121" s="37"/>
      <c r="Z121" s="55"/>
      <c r="AA121" s="55"/>
      <c r="AB121" s="55"/>
      <c r="AC121" s="56"/>
      <c r="AD121" s="56"/>
      <c r="AE121" s="56"/>
      <c r="AF121" s="56"/>
      <c r="AK121" s="171"/>
      <c r="AL121" s="171"/>
      <c r="AM121" s="171"/>
      <c r="AN121" s="171"/>
      <c r="AO121" s="171"/>
      <c r="AP121" s="171"/>
      <c r="AQ121" s="171"/>
      <c r="AR121" s="171"/>
      <c r="AS121" s="171"/>
    </row>
    <row r="122" spans="1:45" s="5" customFormat="1" ht="15.75">
      <c r="A122" s="132">
        <v>6</v>
      </c>
      <c r="B122" s="133" t="s">
        <v>29</v>
      </c>
      <c r="C122" s="133"/>
      <c r="D122" s="133"/>
      <c r="E122" s="133"/>
      <c r="F122" s="133"/>
      <c r="G122" s="193">
        <f>SUM(G123:G127)</f>
        <v>10935</v>
      </c>
      <c r="H122" s="193">
        <f t="shared" ref="H122:V122" si="186">SUM(H123:H127)</f>
        <v>9509</v>
      </c>
      <c r="I122" s="193">
        <f t="shared" si="186"/>
        <v>951</v>
      </c>
      <c r="J122" s="193">
        <f t="shared" si="186"/>
        <v>475</v>
      </c>
      <c r="K122" s="193">
        <f t="shared" si="186"/>
        <v>6174.6856622340429</v>
      </c>
      <c r="L122" s="193">
        <f t="shared" si="186"/>
        <v>5438</v>
      </c>
      <c r="M122" s="193">
        <f t="shared" si="186"/>
        <v>543</v>
      </c>
      <c r="N122" s="193">
        <f t="shared" si="186"/>
        <v>193.68566223404255</v>
      </c>
      <c r="O122" s="193">
        <f t="shared" si="186"/>
        <v>11973.934511464304</v>
      </c>
      <c r="P122" s="193">
        <f t="shared" si="186"/>
        <v>10412.455211047421</v>
      </c>
      <c r="Q122" s="193">
        <f t="shared" si="186"/>
        <v>1041.3065398645128</v>
      </c>
      <c r="R122" s="193">
        <f t="shared" si="186"/>
        <v>520.17276055237107</v>
      </c>
      <c r="S122" s="193">
        <f t="shared" si="186"/>
        <v>1038.9345114643043</v>
      </c>
      <c r="T122" s="193">
        <f t="shared" si="186"/>
        <v>903.45521104742056</v>
      </c>
      <c r="U122" s="193">
        <f t="shared" si="186"/>
        <v>90.306539864512757</v>
      </c>
      <c r="V122" s="193">
        <f t="shared" si="186"/>
        <v>45.172760552371031</v>
      </c>
      <c r="W122" s="125"/>
      <c r="X122" s="126"/>
      <c r="Y122" s="126"/>
      <c r="Z122" s="126"/>
      <c r="AA122" s="105"/>
      <c r="AB122" s="105">
        <f>SUM(J123:J126)-J122</f>
        <v>0</v>
      </c>
      <c r="AC122" s="105">
        <f>SUM(O123:O126)-O122</f>
        <v>-1038.9345114643038</v>
      </c>
      <c r="AD122" s="105">
        <f>SUM(P123:P126)-P122</f>
        <v>-903.45521104742147</v>
      </c>
      <c r="AE122" s="105">
        <f>SUM(Q123:Q126)-Q122</f>
        <v>-90.306539864512843</v>
      </c>
      <c r="AF122" s="105">
        <f>SUM(R123:R126)-R122</f>
        <v>-45.172760552371074</v>
      </c>
      <c r="AK122" s="171"/>
      <c r="AL122" s="171"/>
      <c r="AM122" s="171"/>
      <c r="AN122" s="171"/>
      <c r="AO122" s="171"/>
      <c r="AP122" s="171"/>
      <c r="AQ122" s="171"/>
      <c r="AR122" s="171"/>
      <c r="AS122" s="171"/>
    </row>
    <row r="123" spans="1:45" s="50" customFormat="1" ht="38.25">
      <c r="A123" s="31" t="s">
        <v>198</v>
      </c>
      <c r="B123" s="32" t="s">
        <v>100</v>
      </c>
      <c r="C123" s="33" t="s">
        <v>251</v>
      </c>
      <c r="D123" s="33" t="s">
        <v>101</v>
      </c>
      <c r="E123" s="33" t="s">
        <v>102</v>
      </c>
      <c r="F123" s="33" t="s">
        <v>45</v>
      </c>
      <c r="G123" s="103">
        <f>SUM(H123:J123)</f>
        <v>4512</v>
      </c>
      <c r="H123" s="53">
        <v>3923</v>
      </c>
      <c r="I123" s="53">
        <v>393</v>
      </c>
      <c r="J123" s="53">
        <v>196</v>
      </c>
      <c r="K123" s="89">
        <f t="shared" si="102"/>
        <v>4463.6856622340429</v>
      </c>
      <c r="L123" s="53">
        <v>3882</v>
      </c>
      <c r="M123" s="53">
        <v>388</v>
      </c>
      <c r="N123" s="53">
        <v>193.68566223404255</v>
      </c>
      <c r="O123" s="89">
        <f t="shared" si="103"/>
        <v>4512</v>
      </c>
      <c r="P123" s="92">
        <f t="shared" si="104"/>
        <v>3923</v>
      </c>
      <c r="Q123" s="92">
        <f t="shared" si="105"/>
        <v>393</v>
      </c>
      <c r="R123" s="92">
        <f t="shared" si="106"/>
        <v>196</v>
      </c>
      <c r="S123" s="89">
        <f t="shared" si="107"/>
        <v>0</v>
      </c>
      <c r="T123" s="106"/>
      <c r="U123" s="106"/>
      <c r="V123" s="106"/>
      <c r="W123" s="93"/>
      <c r="X123" s="109"/>
      <c r="Y123" s="37">
        <v>295</v>
      </c>
      <c r="Z123" s="55">
        <f>H123/$G123</f>
        <v>0.869459219858156</v>
      </c>
      <c r="AA123" s="55">
        <f>I123/$G123</f>
        <v>8.7101063829787231E-2</v>
      </c>
      <c r="AB123" s="55">
        <f>J123/$G123</f>
        <v>4.3439716312056738E-2</v>
      </c>
      <c r="AC123" s="56">
        <f>ROUNDDOWN($Y123*Z123,0)+1</f>
        <v>257</v>
      </c>
      <c r="AD123" s="56">
        <f t="shared" ref="AD123" si="187">ROUNDDOWN($Y123*AA123,0)</f>
        <v>25</v>
      </c>
      <c r="AE123" s="56">
        <f>ROUNDDOWN($Y123*AB123,0)+1</f>
        <v>13</v>
      </c>
      <c r="AF123" s="56">
        <f>Y123-AC123-AD123-AE123</f>
        <v>0</v>
      </c>
      <c r="AK123" s="171"/>
      <c r="AL123" s="171"/>
      <c r="AM123" s="171"/>
      <c r="AN123" s="171"/>
      <c r="AO123" s="171"/>
      <c r="AP123" s="171"/>
      <c r="AQ123" s="171"/>
      <c r="AR123" s="171"/>
      <c r="AS123" s="171"/>
    </row>
    <row r="124" spans="1:45" s="50" customFormat="1" ht="25.5">
      <c r="A124" s="31" t="s">
        <v>199</v>
      </c>
      <c r="B124" s="32" t="s">
        <v>103</v>
      </c>
      <c r="C124" s="33" t="s">
        <v>177</v>
      </c>
      <c r="D124" s="33" t="s">
        <v>90</v>
      </c>
      <c r="E124" s="33" t="s">
        <v>102</v>
      </c>
      <c r="F124" s="53" t="s">
        <v>49</v>
      </c>
      <c r="G124" s="103">
        <f>SUM(H124:J124)</f>
        <v>2639</v>
      </c>
      <c r="H124" s="53">
        <v>2295</v>
      </c>
      <c r="I124" s="53">
        <v>229</v>
      </c>
      <c r="J124" s="53">
        <v>115</v>
      </c>
      <c r="K124" s="89">
        <f t="shared" si="102"/>
        <v>1135</v>
      </c>
      <c r="L124" s="53">
        <v>1032</v>
      </c>
      <c r="M124" s="53">
        <v>103</v>
      </c>
      <c r="N124" s="53"/>
      <c r="O124" s="89">
        <f t="shared" si="103"/>
        <v>2639</v>
      </c>
      <c r="P124" s="92">
        <f t="shared" si="104"/>
        <v>2295</v>
      </c>
      <c r="Q124" s="92">
        <f t="shared" si="105"/>
        <v>229</v>
      </c>
      <c r="R124" s="92">
        <f t="shared" si="106"/>
        <v>115</v>
      </c>
      <c r="S124" s="89">
        <f t="shared" si="107"/>
        <v>0</v>
      </c>
      <c r="T124" s="106"/>
      <c r="U124" s="106"/>
      <c r="V124" s="106"/>
      <c r="W124" s="93"/>
      <c r="X124" s="109"/>
      <c r="Y124" s="37"/>
      <c r="Z124" s="55"/>
      <c r="AA124" s="55"/>
      <c r="AB124" s="55"/>
      <c r="AC124" s="56"/>
      <c r="AD124" s="56"/>
      <c r="AE124" s="56"/>
      <c r="AF124" s="56"/>
      <c r="AK124" s="171"/>
      <c r="AL124" s="171"/>
      <c r="AM124" s="171"/>
      <c r="AN124" s="171"/>
      <c r="AO124" s="171"/>
      <c r="AP124" s="171"/>
      <c r="AQ124" s="171"/>
      <c r="AR124" s="171"/>
      <c r="AS124" s="171"/>
    </row>
    <row r="125" spans="1:45" s="50" customFormat="1" ht="25.5">
      <c r="A125" s="31" t="s">
        <v>200</v>
      </c>
      <c r="B125" s="32" t="s">
        <v>104</v>
      </c>
      <c r="C125" s="33" t="s">
        <v>177</v>
      </c>
      <c r="D125" s="33" t="s">
        <v>85</v>
      </c>
      <c r="E125" s="33" t="s">
        <v>102</v>
      </c>
      <c r="F125" s="33" t="s">
        <v>49</v>
      </c>
      <c r="G125" s="103">
        <f>SUM(H125:J125)</f>
        <v>1341</v>
      </c>
      <c r="H125" s="53">
        <v>1166</v>
      </c>
      <c r="I125" s="53">
        <v>117</v>
      </c>
      <c r="J125" s="53">
        <v>58</v>
      </c>
      <c r="K125" s="89">
        <f t="shared" si="102"/>
        <v>576</v>
      </c>
      <c r="L125" s="53">
        <v>524</v>
      </c>
      <c r="M125" s="53">
        <v>52</v>
      </c>
      <c r="N125" s="53"/>
      <c r="O125" s="89">
        <f t="shared" si="103"/>
        <v>1341</v>
      </c>
      <c r="P125" s="92">
        <f t="shared" si="104"/>
        <v>1166</v>
      </c>
      <c r="Q125" s="92">
        <f t="shared" si="105"/>
        <v>117</v>
      </c>
      <c r="R125" s="92">
        <f t="shared" si="106"/>
        <v>58</v>
      </c>
      <c r="S125" s="89">
        <f t="shared" si="107"/>
        <v>0</v>
      </c>
      <c r="T125" s="106"/>
      <c r="U125" s="106"/>
      <c r="V125" s="106"/>
      <c r="W125" s="93"/>
      <c r="X125" s="109"/>
      <c r="Y125" s="37"/>
      <c r="Z125" s="55"/>
      <c r="AA125" s="55"/>
      <c r="AB125" s="55"/>
      <c r="AC125" s="56"/>
      <c r="AD125" s="56"/>
      <c r="AE125" s="56"/>
      <c r="AF125" s="56"/>
      <c r="AK125" s="171"/>
      <c r="AL125" s="171"/>
      <c r="AM125" s="171"/>
      <c r="AN125" s="171"/>
      <c r="AO125" s="171"/>
      <c r="AP125" s="171"/>
      <c r="AQ125" s="171"/>
      <c r="AR125" s="171"/>
      <c r="AS125" s="171"/>
    </row>
    <row r="126" spans="1:45" s="50" customFormat="1" ht="38.25">
      <c r="A126" s="31" t="s">
        <v>201</v>
      </c>
      <c r="B126" s="32" t="s">
        <v>105</v>
      </c>
      <c r="C126" s="33" t="s">
        <v>251</v>
      </c>
      <c r="D126" s="33" t="s">
        <v>106</v>
      </c>
      <c r="E126" s="33" t="s">
        <v>102</v>
      </c>
      <c r="F126" s="33" t="s">
        <v>49</v>
      </c>
      <c r="G126" s="103">
        <f>SUM(H126:J126)</f>
        <v>2443</v>
      </c>
      <c r="H126" s="53">
        <v>2125</v>
      </c>
      <c r="I126" s="53">
        <v>212</v>
      </c>
      <c r="J126" s="53">
        <v>106</v>
      </c>
      <c r="K126" s="89">
        <f t="shared" si="102"/>
        <v>0</v>
      </c>
      <c r="L126" s="53"/>
      <c r="M126" s="53"/>
      <c r="N126" s="53"/>
      <c r="O126" s="89">
        <f t="shared" si="103"/>
        <v>2443</v>
      </c>
      <c r="P126" s="92">
        <f t="shared" si="104"/>
        <v>2125</v>
      </c>
      <c r="Q126" s="92">
        <f t="shared" si="105"/>
        <v>212</v>
      </c>
      <c r="R126" s="92">
        <f t="shared" si="106"/>
        <v>106</v>
      </c>
      <c r="S126" s="89">
        <f t="shared" si="107"/>
        <v>0</v>
      </c>
      <c r="T126" s="106"/>
      <c r="U126" s="106"/>
      <c r="V126" s="106"/>
      <c r="W126" s="93"/>
      <c r="X126" s="109"/>
      <c r="Y126" s="37"/>
      <c r="Z126" s="55"/>
      <c r="AA126" s="55"/>
      <c r="AB126" s="55"/>
      <c r="AC126" s="56"/>
      <c r="AD126" s="56"/>
      <c r="AE126" s="56"/>
      <c r="AF126" s="56"/>
      <c r="AK126" s="171"/>
      <c r="AL126" s="171"/>
      <c r="AM126" s="171"/>
      <c r="AN126" s="171"/>
      <c r="AO126" s="171"/>
      <c r="AP126" s="171"/>
      <c r="AQ126" s="171"/>
      <c r="AR126" s="171"/>
      <c r="AS126" s="171"/>
    </row>
    <row r="127" spans="1:45" s="183" customFormat="1" ht="15.75">
      <c r="A127" s="192"/>
      <c r="B127" s="191" t="s">
        <v>277</v>
      </c>
      <c r="C127" s="190"/>
      <c r="D127" s="190"/>
      <c r="E127" s="190"/>
      <c r="F127" s="190"/>
      <c r="G127" s="189">
        <f>SUM(G128:G129)</f>
        <v>0</v>
      </c>
      <c r="H127" s="189">
        <f t="shared" ref="H127" si="188">SUM(H128:H129)</f>
        <v>0</v>
      </c>
      <c r="I127" s="189">
        <f t="shared" ref="I127" si="189">SUM(I128:I129)</f>
        <v>0</v>
      </c>
      <c r="J127" s="189">
        <f t="shared" ref="J127" si="190">SUM(J128:J129)</f>
        <v>0</v>
      </c>
      <c r="K127" s="189">
        <f t="shared" ref="K127" si="191">SUM(K128:K129)</f>
        <v>0</v>
      </c>
      <c r="L127" s="189">
        <f t="shared" ref="L127" si="192">SUM(L128:L129)</f>
        <v>0</v>
      </c>
      <c r="M127" s="189">
        <f t="shared" ref="M127" si="193">SUM(M128:M129)</f>
        <v>0</v>
      </c>
      <c r="N127" s="189">
        <f t="shared" ref="N127" si="194">SUM(N128:N129)</f>
        <v>0</v>
      </c>
      <c r="O127" s="189">
        <v>1038.9345114643043</v>
      </c>
      <c r="P127" s="189">
        <v>903.45521104742056</v>
      </c>
      <c r="Q127" s="189">
        <v>90.306539864512757</v>
      </c>
      <c r="R127" s="189">
        <v>45.172760552371031</v>
      </c>
      <c r="S127" s="189">
        <f t="shared" ref="S127" si="195">SUM(S128:S129)</f>
        <v>1038.9345114643043</v>
      </c>
      <c r="T127" s="189">
        <f t="shared" ref="T127" si="196">SUM(T128:T129)</f>
        <v>903.45521104742056</v>
      </c>
      <c r="U127" s="189">
        <f t="shared" ref="U127" si="197">SUM(U128:U129)</f>
        <v>90.306539864512757</v>
      </c>
      <c r="V127" s="189">
        <f t="shared" ref="V127" si="198">SUM(V128:V129)</f>
        <v>45.172760552371031</v>
      </c>
      <c r="W127" s="188"/>
      <c r="X127" s="187"/>
      <c r="Y127" s="186"/>
      <c r="Z127" s="185"/>
      <c r="AA127" s="185"/>
      <c r="AB127" s="185"/>
      <c r="AC127" s="184"/>
      <c r="AD127" s="184"/>
      <c r="AE127" s="184"/>
      <c r="AF127" s="184"/>
    </row>
    <row r="128" spans="1:45" s="50" customFormat="1" ht="25.5">
      <c r="A128" s="31"/>
      <c r="B128" s="32" t="s">
        <v>400</v>
      </c>
      <c r="C128" s="33" t="s">
        <v>177</v>
      </c>
      <c r="D128" s="33" t="s">
        <v>398</v>
      </c>
      <c r="E128" s="33" t="s">
        <v>102</v>
      </c>
      <c r="F128" s="33" t="s">
        <v>358</v>
      </c>
      <c r="G128" s="103">
        <f>H128+I128+J128</f>
        <v>0</v>
      </c>
      <c r="H128" s="53"/>
      <c r="I128" s="53"/>
      <c r="J128" s="53"/>
      <c r="K128" s="89">
        <f t="shared" ref="K128:K129" si="199">L128+M128+N128</f>
        <v>0</v>
      </c>
      <c r="L128" s="53"/>
      <c r="M128" s="53"/>
      <c r="N128" s="53"/>
      <c r="O128" s="89">
        <f t="shared" ref="O128:O129" si="200">P128+Q128+R128</f>
        <v>495</v>
      </c>
      <c r="P128" s="92">
        <v>431</v>
      </c>
      <c r="Q128" s="92">
        <v>43</v>
      </c>
      <c r="R128" s="92">
        <v>21</v>
      </c>
      <c r="S128" s="89">
        <f t="shared" ref="S128:S129" si="201">T128+U128+V128</f>
        <v>495</v>
      </c>
      <c r="T128" s="106">
        <f t="shared" ref="T128:T129" si="202">P128</f>
        <v>431</v>
      </c>
      <c r="U128" s="106">
        <f t="shared" ref="U128:U129" si="203">Q128</f>
        <v>43</v>
      </c>
      <c r="V128" s="106">
        <f t="shared" ref="V128:V129" si="204">R128</f>
        <v>21</v>
      </c>
      <c r="W128" s="93" t="s">
        <v>368</v>
      </c>
      <c r="X128" s="109"/>
      <c r="Y128" s="37">
        <v>88</v>
      </c>
      <c r="Z128" s="55" t="e">
        <f>H128/$G128</f>
        <v>#DIV/0!</v>
      </c>
      <c r="AA128" s="55" t="e">
        <f>I128/$G128</f>
        <v>#DIV/0!</v>
      </c>
      <c r="AB128" s="55" t="e">
        <f>J128/$G128</f>
        <v>#DIV/0!</v>
      </c>
      <c r="AC128" s="56" t="e">
        <f>ROUNDDOWN($Y128*Z128,0)+1</f>
        <v>#DIV/0!</v>
      </c>
      <c r="AD128" s="56" t="e">
        <f t="shared" ref="AD128" si="205">ROUNDDOWN($Y128*AA128,0)</f>
        <v>#DIV/0!</v>
      </c>
      <c r="AE128" s="56" t="e">
        <f>ROUNDDOWN($Y128*AB128,0)+1</f>
        <v>#DIV/0!</v>
      </c>
      <c r="AF128" s="56" t="e">
        <f>Y128-AC128-AD128-AE128</f>
        <v>#DIV/0!</v>
      </c>
      <c r="AK128" s="171"/>
      <c r="AL128" s="171"/>
      <c r="AM128" s="171"/>
      <c r="AN128" s="171"/>
      <c r="AO128" s="171"/>
      <c r="AP128" s="171"/>
      <c r="AQ128" s="171"/>
      <c r="AR128" s="171"/>
      <c r="AS128" s="171"/>
    </row>
    <row r="129" spans="1:45" s="50" customFormat="1" ht="25.5">
      <c r="A129" s="31"/>
      <c r="B129" s="32" t="s">
        <v>401</v>
      </c>
      <c r="C129" s="33" t="s">
        <v>177</v>
      </c>
      <c r="D129" s="33" t="s">
        <v>399</v>
      </c>
      <c r="E129" s="33" t="s">
        <v>102</v>
      </c>
      <c r="F129" s="33" t="s">
        <v>358</v>
      </c>
      <c r="G129" s="103">
        <f>H129+I129+J129</f>
        <v>0</v>
      </c>
      <c r="H129" s="53"/>
      <c r="I129" s="53"/>
      <c r="J129" s="53"/>
      <c r="K129" s="89">
        <f t="shared" si="199"/>
        <v>0</v>
      </c>
      <c r="L129" s="53"/>
      <c r="M129" s="53"/>
      <c r="N129" s="53"/>
      <c r="O129" s="89">
        <f t="shared" si="200"/>
        <v>543.93451146430436</v>
      </c>
      <c r="P129" s="92">
        <f>P127-P128</f>
        <v>472.45521104742056</v>
      </c>
      <c r="Q129" s="92">
        <f t="shared" ref="Q129:R129" si="206">Q127-Q128</f>
        <v>47.306539864512757</v>
      </c>
      <c r="R129" s="92">
        <f t="shared" si="206"/>
        <v>24.172760552371031</v>
      </c>
      <c r="S129" s="89">
        <f t="shared" si="201"/>
        <v>543.93451146430436</v>
      </c>
      <c r="T129" s="106">
        <f t="shared" si="202"/>
        <v>472.45521104742056</v>
      </c>
      <c r="U129" s="106">
        <f t="shared" si="203"/>
        <v>47.306539864512757</v>
      </c>
      <c r="V129" s="106">
        <f t="shared" si="204"/>
        <v>24.172760552371031</v>
      </c>
      <c r="W129" s="93" t="s">
        <v>368</v>
      </c>
      <c r="X129" s="109"/>
      <c r="Y129" s="37"/>
      <c r="Z129" s="55"/>
      <c r="AA129" s="55"/>
      <c r="AB129" s="55"/>
      <c r="AC129" s="56"/>
      <c r="AD129" s="56"/>
      <c r="AE129" s="56"/>
      <c r="AF129" s="56"/>
      <c r="AK129" s="171"/>
      <c r="AL129" s="171"/>
      <c r="AM129" s="171"/>
      <c r="AN129" s="171"/>
      <c r="AO129" s="171"/>
      <c r="AP129" s="171"/>
      <c r="AQ129" s="171"/>
      <c r="AR129" s="171"/>
      <c r="AS129" s="171"/>
    </row>
    <row r="130" spans="1:45" s="5" customFormat="1" ht="15.75">
      <c r="A130" s="132">
        <v>7</v>
      </c>
      <c r="B130" s="133" t="s">
        <v>30</v>
      </c>
      <c r="C130" s="133"/>
      <c r="D130" s="133"/>
      <c r="E130" s="133"/>
      <c r="F130" s="133"/>
      <c r="G130" s="193">
        <f>SUM(G131:G136)</f>
        <v>11437</v>
      </c>
      <c r="H130" s="193">
        <f t="shared" ref="H130:V130" si="207">SUM(H131:H136)</f>
        <v>9945</v>
      </c>
      <c r="I130" s="193">
        <f t="shared" si="207"/>
        <v>995</v>
      </c>
      <c r="J130" s="193">
        <f t="shared" si="207"/>
        <v>497</v>
      </c>
      <c r="K130" s="193">
        <f t="shared" si="207"/>
        <v>6852.3959999999997</v>
      </c>
      <c r="L130" s="193">
        <f t="shared" si="207"/>
        <v>6188</v>
      </c>
      <c r="M130" s="193">
        <f t="shared" si="207"/>
        <v>616</v>
      </c>
      <c r="N130" s="193">
        <f t="shared" si="207"/>
        <v>48.396000000000001</v>
      </c>
      <c r="O130" s="193">
        <f t="shared" si="207"/>
        <v>11437</v>
      </c>
      <c r="P130" s="193">
        <f t="shared" si="207"/>
        <v>9945</v>
      </c>
      <c r="Q130" s="193">
        <f t="shared" si="207"/>
        <v>995</v>
      </c>
      <c r="R130" s="193">
        <f t="shared" si="207"/>
        <v>497</v>
      </c>
      <c r="S130" s="193">
        <f t="shared" si="207"/>
        <v>0</v>
      </c>
      <c r="T130" s="193">
        <f t="shared" si="207"/>
        <v>0</v>
      </c>
      <c r="U130" s="193">
        <f t="shared" si="207"/>
        <v>0</v>
      </c>
      <c r="V130" s="193">
        <f t="shared" si="207"/>
        <v>0</v>
      </c>
      <c r="W130" s="125"/>
      <c r="X130" s="126"/>
      <c r="Y130" s="126"/>
      <c r="Z130" s="126"/>
      <c r="AA130" s="105"/>
      <c r="AB130" s="105">
        <f>SUM(J131:J133)-J130</f>
        <v>-214</v>
      </c>
      <c r="AC130" s="105"/>
      <c r="AD130" s="105"/>
      <c r="AE130" s="105"/>
      <c r="AF130" s="105"/>
      <c r="AK130" s="171"/>
      <c r="AL130" s="171"/>
      <c r="AM130" s="171"/>
      <c r="AN130" s="171"/>
      <c r="AO130" s="171"/>
      <c r="AP130" s="171"/>
      <c r="AQ130" s="171"/>
      <c r="AR130" s="171"/>
      <c r="AS130" s="171"/>
    </row>
    <row r="131" spans="1:45" s="50" customFormat="1" ht="38.25">
      <c r="A131" s="31" t="s">
        <v>202</v>
      </c>
      <c r="B131" s="32" t="s">
        <v>107</v>
      </c>
      <c r="C131" s="33" t="s">
        <v>110</v>
      </c>
      <c r="D131" s="33" t="s">
        <v>108</v>
      </c>
      <c r="E131" s="33" t="s">
        <v>109</v>
      </c>
      <c r="F131" s="33" t="s">
        <v>62</v>
      </c>
      <c r="G131" s="103">
        <f>H131+I131+J131</f>
        <v>1116</v>
      </c>
      <c r="H131" s="53">
        <v>970</v>
      </c>
      <c r="I131" s="53">
        <v>97</v>
      </c>
      <c r="J131" s="53">
        <v>49</v>
      </c>
      <c r="K131" s="89">
        <f t="shared" si="102"/>
        <v>1108.396</v>
      </c>
      <c r="L131" s="53">
        <v>966</v>
      </c>
      <c r="M131" s="53">
        <v>94</v>
      </c>
      <c r="N131" s="53">
        <v>48.396000000000001</v>
      </c>
      <c r="O131" s="89">
        <f t="shared" si="103"/>
        <v>1116</v>
      </c>
      <c r="P131" s="92">
        <f t="shared" si="104"/>
        <v>970</v>
      </c>
      <c r="Q131" s="92">
        <f t="shared" si="105"/>
        <v>97</v>
      </c>
      <c r="R131" s="92">
        <f t="shared" si="106"/>
        <v>49</v>
      </c>
      <c r="S131" s="89">
        <f t="shared" si="107"/>
        <v>0</v>
      </c>
      <c r="T131" s="106"/>
      <c r="U131" s="106"/>
      <c r="V131" s="106"/>
      <c r="W131" s="93"/>
      <c r="X131" s="109"/>
      <c r="Y131" s="37"/>
      <c r="Z131" s="55"/>
      <c r="AA131" s="55"/>
      <c r="AB131" s="55"/>
      <c r="AC131" s="56"/>
      <c r="AD131" s="56"/>
      <c r="AE131" s="56"/>
      <c r="AF131" s="56"/>
      <c r="AK131" s="171"/>
      <c r="AL131" s="171"/>
      <c r="AM131" s="171"/>
      <c r="AN131" s="171"/>
      <c r="AO131" s="171"/>
      <c r="AP131" s="171"/>
      <c r="AQ131" s="171"/>
      <c r="AR131" s="171"/>
      <c r="AS131" s="171"/>
    </row>
    <row r="132" spans="1:45" s="50" customFormat="1" ht="38.25">
      <c r="A132" s="31" t="s">
        <v>203</v>
      </c>
      <c r="B132" s="194" t="s">
        <v>346</v>
      </c>
      <c r="C132" s="33" t="s">
        <v>251</v>
      </c>
      <c r="D132" s="97" t="s">
        <v>347</v>
      </c>
      <c r="E132" s="33" t="s">
        <v>109</v>
      </c>
      <c r="F132" s="33" t="s">
        <v>49</v>
      </c>
      <c r="G132" s="103">
        <f>H132+I132+J132</f>
        <v>4600</v>
      </c>
      <c r="H132" s="53">
        <v>4000</v>
      </c>
      <c r="I132" s="53">
        <v>400</v>
      </c>
      <c r="J132" s="53">
        <v>200</v>
      </c>
      <c r="K132" s="89">
        <f t="shared" si="102"/>
        <v>1980</v>
      </c>
      <c r="L132" s="53">
        <v>1800</v>
      </c>
      <c r="M132" s="53">
        <v>180</v>
      </c>
      <c r="N132" s="53"/>
      <c r="O132" s="89">
        <f t="shared" si="103"/>
        <v>4600</v>
      </c>
      <c r="P132" s="92">
        <f t="shared" si="104"/>
        <v>4000</v>
      </c>
      <c r="Q132" s="92">
        <f t="shared" si="105"/>
        <v>400</v>
      </c>
      <c r="R132" s="92">
        <f t="shared" si="106"/>
        <v>200</v>
      </c>
      <c r="S132" s="89">
        <f t="shared" si="107"/>
        <v>0</v>
      </c>
      <c r="T132" s="106"/>
      <c r="U132" s="106"/>
      <c r="V132" s="106"/>
      <c r="W132" s="93"/>
      <c r="X132" s="109"/>
      <c r="Y132" s="37"/>
      <c r="Z132" s="55"/>
      <c r="AA132" s="55"/>
      <c r="AB132" s="55"/>
      <c r="AC132" s="56"/>
      <c r="AD132" s="56"/>
      <c r="AE132" s="56"/>
      <c r="AF132" s="56"/>
      <c r="AK132" s="171"/>
      <c r="AL132" s="171"/>
      <c r="AM132" s="171"/>
      <c r="AN132" s="171"/>
      <c r="AO132" s="171"/>
      <c r="AP132" s="171"/>
      <c r="AQ132" s="171"/>
      <c r="AR132" s="171"/>
      <c r="AS132" s="171"/>
    </row>
    <row r="133" spans="1:45" s="50" customFormat="1" ht="25.5">
      <c r="A133" s="31" t="s">
        <v>204</v>
      </c>
      <c r="B133" s="194" t="s">
        <v>151</v>
      </c>
      <c r="C133" s="33" t="s">
        <v>110</v>
      </c>
      <c r="D133" s="97" t="s">
        <v>269</v>
      </c>
      <c r="E133" s="33" t="s">
        <v>109</v>
      </c>
      <c r="F133" s="33" t="s">
        <v>49</v>
      </c>
      <c r="G133" s="103">
        <f>H133+I133+J133</f>
        <v>810</v>
      </c>
      <c r="H133" s="53">
        <v>705</v>
      </c>
      <c r="I133" s="53">
        <v>71</v>
      </c>
      <c r="J133" s="53">
        <v>34</v>
      </c>
      <c r="K133" s="89">
        <f t="shared" si="102"/>
        <v>348</v>
      </c>
      <c r="L133" s="53">
        <v>317</v>
      </c>
      <c r="M133" s="53">
        <v>31</v>
      </c>
      <c r="N133" s="53"/>
      <c r="O133" s="89">
        <f t="shared" si="103"/>
        <v>810</v>
      </c>
      <c r="P133" s="92">
        <f t="shared" si="104"/>
        <v>705</v>
      </c>
      <c r="Q133" s="92">
        <f t="shared" si="105"/>
        <v>71</v>
      </c>
      <c r="R133" s="92">
        <f t="shared" si="106"/>
        <v>34</v>
      </c>
      <c r="S133" s="89">
        <f t="shared" si="107"/>
        <v>0</v>
      </c>
      <c r="T133" s="106"/>
      <c r="U133" s="106"/>
      <c r="V133" s="106"/>
      <c r="W133" s="93"/>
      <c r="X133" s="109"/>
      <c r="Y133" s="37"/>
      <c r="Z133" s="55"/>
      <c r="AA133" s="55"/>
      <c r="AB133" s="55"/>
      <c r="AC133" s="56"/>
      <c r="AD133" s="56"/>
      <c r="AE133" s="56"/>
      <c r="AF133" s="56"/>
      <c r="AK133" s="171"/>
      <c r="AL133" s="171"/>
      <c r="AM133" s="171"/>
      <c r="AN133" s="171"/>
      <c r="AO133" s="171"/>
      <c r="AP133" s="171"/>
      <c r="AQ133" s="171"/>
      <c r="AR133" s="171"/>
      <c r="AS133" s="171"/>
    </row>
    <row r="134" spans="1:45" s="50" customFormat="1" ht="38.25">
      <c r="A134" s="31" t="s">
        <v>205</v>
      </c>
      <c r="B134" s="194" t="s">
        <v>336</v>
      </c>
      <c r="C134" s="33" t="s">
        <v>251</v>
      </c>
      <c r="D134" s="97" t="s">
        <v>337</v>
      </c>
      <c r="E134" s="33" t="s">
        <v>109</v>
      </c>
      <c r="F134" s="33" t="s">
        <v>157</v>
      </c>
      <c r="G134" s="103">
        <f t="shared" ref="G134:G135" si="208">H134+I134+J134</f>
        <v>3680</v>
      </c>
      <c r="H134" s="53">
        <v>3200</v>
      </c>
      <c r="I134" s="53">
        <v>320</v>
      </c>
      <c r="J134" s="53">
        <v>160</v>
      </c>
      <c r="K134" s="89">
        <f t="shared" si="102"/>
        <v>2887</v>
      </c>
      <c r="L134" s="53">
        <v>2624</v>
      </c>
      <c r="M134" s="53">
        <v>263</v>
      </c>
      <c r="N134" s="53"/>
      <c r="O134" s="89">
        <f t="shared" si="103"/>
        <v>3680</v>
      </c>
      <c r="P134" s="92">
        <f t="shared" si="104"/>
        <v>3200</v>
      </c>
      <c r="Q134" s="92">
        <f t="shared" si="105"/>
        <v>320</v>
      </c>
      <c r="R134" s="92">
        <f t="shared" si="106"/>
        <v>160</v>
      </c>
      <c r="S134" s="89">
        <f t="shared" si="107"/>
        <v>0</v>
      </c>
      <c r="T134" s="106"/>
      <c r="U134" s="106"/>
      <c r="V134" s="106"/>
      <c r="W134" s="93"/>
      <c r="X134" s="109"/>
      <c r="Y134" s="37"/>
      <c r="Z134" s="55"/>
      <c r="AA134" s="55"/>
      <c r="AB134" s="55"/>
      <c r="AC134" s="56"/>
      <c r="AD134" s="56"/>
      <c r="AE134" s="56"/>
      <c r="AF134" s="56"/>
      <c r="AK134" s="171"/>
      <c r="AL134" s="171"/>
      <c r="AM134" s="171"/>
      <c r="AN134" s="171"/>
      <c r="AO134" s="171"/>
      <c r="AP134" s="171"/>
      <c r="AQ134" s="171"/>
      <c r="AR134" s="171"/>
      <c r="AS134" s="171"/>
    </row>
    <row r="135" spans="1:45" s="50" customFormat="1" ht="38.25">
      <c r="A135" s="31" t="s">
        <v>206</v>
      </c>
      <c r="B135" s="194" t="s">
        <v>288</v>
      </c>
      <c r="C135" s="33" t="s">
        <v>110</v>
      </c>
      <c r="D135" s="97" t="s">
        <v>289</v>
      </c>
      <c r="E135" s="33" t="s">
        <v>109</v>
      </c>
      <c r="F135" s="33" t="s">
        <v>49</v>
      </c>
      <c r="G135" s="103">
        <f t="shared" si="208"/>
        <v>1231</v>
      </c>
      <c r="H135" s="53">
        <v>1070</v>
      </c>
      <c r="I135" s="53">
        <v>107</v>
      </c>
      <c r="J135" s="53">
        <v>54</v>
      </c>
      <c r="K135" s="89">
        <f t="shared" si="102"/>
        <v>529</v>
      </c>
      <c r="L135" s="53">
        <v>481</v>
      </c>
      <c r="M135" s="53">
        <v>48</v>
      </c>
      <c r="N135" s="53"/>
      <c r="O135" s="89">
        <f t="shared" si="103"/>
        <v>1231</v>
      </c>
      <c r="P135" s="92">
        <f t="shared" si="104"/>
        <v>1070</v>
      </c>
      <c r="Q135" s="92">
        <f t="shared" si="105"/>
        <v>107</v>
      </c>
      <c r="R135" s="92">
        <f t="shared" si="106"/>
        <v>54</v>
      </c>
      <c r="S135" s="89">
        <f t="shared" si="107"/>
        <v>0</v>
      </c>
      <c r="T135" s="106"/>
      <c r="U135" s="106"/>
      <c r="V135" s="106"/>
      <c r="W135" s="93"/>
      <c r="X135" s="109"/>
      <c r="Y135" s="37"/>
      <c r="Z135" s="55"/>
      <c r="AA135" s="55"/>
      <c r="AB135" s="55"/>
      <c r="AC135" s="56"/>
      <c r="AD135" s="56"/>
      <c r="AE135" s="56"/>
      <c r="AF135" s="56"/>
      <c r="AK135" s="171"/>
      <c r="AL135" s="171"/>
      <c r="AM135" s="171"/>
      <c r="AN135" s="171"/>
      <c r="AO135" s="171"/>
      <c r="AP135" s="171"/>
      <c r="AQ135" s="171"/>
      <c r="AR135" s="171"/>
      <c r="AS135" s="171"/>
    </row>
    <row r="136" spans="1:45" s="183" customFormat="1" ht="15.75">
      <c r="A136" s="192"/>
      <c r="B136" s="191" t="s">
        <v>277</v>
      </c>
      <c r="C136" s="190"/>
      <c r="D136" s="190"/>
      <c r="E136" s="190"/>
      <c r="F136" s="190"/>
      <c r="G136" s="189"/>
      <c r="H136" s="189"/>
      <c r="I136" s="189"/>
      <c r="J136" s="189"/>
      <c r="K136" s="189"/>
      <c r="L136" s="189"/>
      <c r="M136" s="189"/>
      <c r="N136" s="189"/>
      <c r="O136" s="189"/>
      <c r="P136" s="189"/>
      <c r="Q136" s="189"/>
      <c r="R136" s="189"/>
      <c r="S136" s="189"/>
      <c r="T136" s="189"/>
      <c r="U136" s="189"/>
      <c r="V136" s="189"/>
      <c r="W136" s="188"/>
      <c r="X136" s="187"/>
      <c r="Y136" s="186"/>
      <c r="Z136" s="185"/>
      <c r="AA136" s="185"/>
      <c r="AB136" s="185"/>
      <c r="AC136" s="184"/>
      <c r="AD136" s="184"/>
      <c r="AE136" s="184"/>
      <c r="AF136" s="184"/>
    </row>
    <row r="137" spans="1:45" s="5" customFormat="1" ht="15.75">
      <c r="A137" s="132">
        <v>8</v>
      </c>
      <c r="B137" s="133" t="s">
        <v>31</v>
      </c>
      <c r="C137" s="133"/>
      <c r="D137" s="133"/>
      <c r="E137" s="133"/>
      <c r="F137" s="133"/>
      <c r="G137" s="182">
        <f>SUM(G138:G143)</f>
        <v>10380</v>
      </c>
      <c r="H137" s="182">
        <f t="shared" ref="H137:V137" si="209">SUM(H138:H143)</f>
        <v>9026</v>
      </c>
      <c r="I137" s="182">
        <f t="shared" si="209"/>
        <v>903</v>
      </c>
      <c r="J137" s="182">
        <f t="shared" si="209"/>
        <v>451</v>
      </c>
      <c r="K137" s="182">
        <f t="shared" si="209"/>
        <v>6458</v>
      </c>
      <c r="L137" s="182">
        <f t="shared" si="209"/>
        <v>5692</v>
      </c>
      <c r="M137" s="182">
        <f t="shared" si="209"/>
        <v>569</v>
      </c>
      <c r="N137" s="182">
        <f t="shared" si="209"/>
        <v>197</v>
      </c>
      <c r="O137" s="182">
        <f t="shared" si="209"/>
        <v>11407.883628487849</v>
      </c>
      <c r="P137" s="182">
        <f t="shared" si="209"/>
        <v>9919.8453870387038</v>
      </c>
      <c r="Q137" s="182">
        <f t="shared" si="209"/>
        <v>992.34597209720971</v>
      </c>
      <c r="R137" s="182">
        <f t="shared" si="209"/>
        <v>495.69226935193518</v>
      </c>
      <c r="S137" s="182">
        <f t="shared" si="209"/>
        <v>1027.8836284878487</v>
      </c>
      <c r="T137" s="182">
        <f t="shared" si="209"/>
        <v>893.84538703870385</v>
      </c>
      <c r="U137" s="182">
        <f t="shared" si="209"/>
        <v>89.34597209720971</v>
      </c>
      <c r="V137" s="182">
        <f t="shared" si="209"/>
        <v>44.692269351935202</v>
      </c>
      <c r="W137" s="125"/>
      <c r="X137" s="126"/>
      <c r="Y137" s="126"/>
      <c r="Z137" s="126"/>
      <c r="AA137" s="105"/>
      <c r="AB137" s="105">
        <f>SUM(J138:J141)-J137</f>
        <v>-49</v>
      </c>
      <c r="AC137" s="105"/>
      <c r="AD137" s="105"/>
      <c r="AE137" s="105"/>
      <c r="AF137" s="105"/>
      <c r="AK137" s="171"/>
      <c r="AL137" s="171"/>
      <c r="AM137" s="171"/>
      <c r="AN137" s="171"/>
      <c r="AO137" s="171"/>
      <c r="AP137" s="171"/>
      <c r="AQ137" s="171"/>
      <c r="AR137" s="171"/>
      <c r="AS137" s="171"/>
    </row>
    <row r="138" spans="1:45" s="50" customFormat="1" ht="38.25">
      <c r="A138" s="31" t="s">
        <v>207</v>
      </c>
      <c r="B138" s="32" t="s">
        <v>111</v>
      </c>
      <c r="C138" s="33" t="s">
        <v>251</v>
      </c>
      <c r="D138" s="33" t="s">
        <v>101</v>
      </c>
      <c r="E138" s="33" t="s">
        <v>112</v>
      </c>
      <c r="F138" s="33" t="s">
        <v>45</v>
      </c>
      <c r="G138" s="103">
        <f t="shared" ref="G138:G172" si="210">SUM(H138:J138)</f>
        <v>5101</v>
      </c>
      <c r="H138" s="53">
        <v>4436</v>
      </c>
      <c r="I138" s="53">
        <v>444</v>
      </c>
      <c r="J138" s="53">
        <v>221</v>
      </c>
      <c r="K138" s="89">
        <f t="shared" si="102"/>
        <v>4979</v>
      </c>
      <c r="L138" s="53">
        <v>4347</v>
      </c>
      <c r="M138" s="53">
        <v>435</v>
      </c>
      <c r="N138" s="53">
        <v>197</v>
      </c>
      <c r="O138" s="89">
        <f t="shared" si="103"/>
        <v>5101</v>
      </c>
      <c r="P138" s="92">
        <f t="shared" si="104"/>
        <v>4436</v>
      </c>
      <c r="Q138" s="92">
        <f t="shared" si="105"/>
        <v>444</v>
      </c>
      <c r="R138" s="92">
        <f t="shared" si="106"/>
        <v>221</v>
      </c>
      <c r="S138" s="89">
        <f t="shared" si="107"/>
        <v>0</v>
      </c>
      <c r="T138" s="106"/>
      <c r="U138" s="106"/>
      <c r="V138" s="106"/>
      <c r="W138" s="93"/>
      <c r="X138" s="109"/>
      <c r="Y138" s="37">
        <v>409</v>
      </c>
      <c r="Z138" s="55">
        <f>H138/$G138</f>
        <v>0.86963340521466381</v>
      </c>
      <c r="AA138" s="55">
        <f>I138/$G138</f>
        <v>8.7041756518329738E-2</v>
      </c>
      <c r="AB138" s="55">
        <f>J138/$G138</f>
        <v>4.332483826700647E-2</v>
      </c>
      <c r="AC138" s="56">
        <f>ROUNDDOWN($Y138*Z138,0)+1</f>
        <v>356</v>
      </c>
      <c r="AD138" s="56">
        <f t="shared" ref="AD138" si="211">ROUNDDOWN($Y138*AA138,0)</f>
        <v>35</v>
      </c>
      <c r="AE138" s="56">
        <f>ROUNDDOWN($Y138*AB138,0)+1</f>
        <v>18</v>
      </c>
      <c r="AF138" s="56">
        <f>Y138-AC138-AD138-AE138</f>
        <v>0</v>
      </c>
      <c r="AK138" s="171"/>
      <c r="AL138" s="171"/>
      <c r="AM138" s="171"/>
      <c r="AN138" s="171"/>
      <c r="AO138" s="171"/>
      <c r="AP138" s="171"/>
      <c r="AQ138" s="171"/>
      <c r="AR138" s="171"/>
      <c r="AS138" s="171"/>
    </row>
    <row r="139" spans="1:45" s="50" customFormat="1" ht="25.5">
      <c r="A139" s="31" t="s">
        <v>208</v>
      </c>
      <c r="B139" s="32" t="s">
        <v>113</v>
      </c>
      <c r="C139" s="33" t="s">
        <v>117</v>
      </c>
      <c r="D139" s="33" t="s">
        <v>66</v>
      </c>
      <c r="E139" s="33" t="s">
        <v>112</v>
      </c>
      <c r="F139" s="53" t="s">
        <v>49</v>
      </c>
      <c r="G139" s="103">
        <f t="shared" si="210"/>
        <v>1564</v>
      </c>
      <c r="H139" s="53">
        <v>1360</v>
      </c>
      <c r="I139" s="53">
        <v>136</v>
      </c>
      <c r="J139" s="53">
        <v>68</v>
      </c>
      <c r="K139" s="89">
        <f t="shared" si="102"/>
        <v>673</v>
      </c>
      <c r="L139" s="53">
        <v>612</v>
      </c>
      <c r="M139" s="53">
        <v>61</v>
      </c>
      <c r="N139" s="53"/>
      <c r="O139" s="89">
        <f t="shared" si="103"/>
        <v>1564</v>
      </c>
      <c r="P139" s="92">
        <f t="shared" si="104"/>
        <v>1360</v>
      </c>
      <c r="Q139" s="92">
        <f t="shared" si="105"/>
        <v>136</v>
      </c>
      <c r="R139" s="92">
        <f t="shared" si="106"/>
        <v>68</v>
      </c>
      <c r="S139" s="89">
        <f t="shared" si="107"/>
        <v>0</v>
      </c>
      <c r="T139" s="106"/>
      <c r="U139" s="106"/>
      <c r="V139" s="106"/>
      <c r="W139" s="93"/>
      <c r="X139" s="109"/>
      <c r="Y139" s="37"/>
      <c r="Z139" s="55">
        <f>H137-356-P138-P139-P140-P141</f>
        <v>599</v>
      </c>
      <c r="AA139" s="55"/>
      <c r="AB139" s="55"/>
      <c r="AC139" s="56"/>
      <c r="AD139" s="56"/>
      <c r="AE139" s="56"/>
      <c r="AF139" s="56"/>
      <c r="AK139" s="171"/>
      <c r="AL139" s="171"/>
      <c r="AM139" s="171"/>
      <c r="AN139" s="171"/>
      <c r="AO139" s="171"/>
      <c r="AP139" s="171"/>
      <c r="AQ139" s="171"/>
      <c r="AR139" s="171"/>
      <c r="AS139" s="171"/>
    </row>
    <row r="140" spans="1:45" s="50" customFormat="1" ht="38.25">
      <c r="A140" s="31" t="s">
        <v>209</v>
      </c>
      <c r="B140" s="32" t="s">
        <v>114</v>
      </c>
      <c r="C140" s="33" t="s">
        <v>251</v>
      </c>
      <c r="D140" s="119" t="s">
        <v>270</v>
      </c>
      <c r="E140" s="33" t="s">
        <v>112</v>
      </c>
      <c r="F140" s="53" t="s">
        <v>49</v>
      </c>
      <c r="G140" s="103">
        <f t="shared" si="210"/>
        <v>1840</v>
      </c>
      <c r="H140" s="53">
        <v>1600</v>
      </c>
      <c r="I140" s="53">
        <v>160</v>
      </c>
      <c r="J140" s="53">
        <v>80</v>
      </c>
      <c r="K140" s="89">
        <f t="shared" si="102"/>
        <v>0</v>
      </c>
      <c r="L140" s="53"/>
      <c r="M140" s="53"/>
      <c r="N140" s="53"/>
      <c r="O140" s="89">
        <f t="shared" si="103"/>
        <v>1840</v>
      </c>
      <c r="P140" s="92">
        <f t="shared" si="104"/>
        <v>1600</v>
      </c>
      <c r="Q140" s="92">
        <f t="shared" si="105"/>
        <v>160</v>
      </c>
      <c r="R140" s="92">
        <f t="shared" si="106"/>
        <v>80</v>
      </c>
      <c r="S140" s="89">
        <f t="shared" si="107"/>
        <v>0</v>
      </c>
      <c r="T140" s="106"/>
      <c r="U140" s="106"/>
      <c r="V140" s="106"/>
      <c r="W140" s="93"/>
      <c r="X140" s="109"/>
      <c r="Y140" s="37"/>
      <c r="Z140" s="55"/>
      <c r="AA140" s="55"/>
      <c r="AB140" s="55"/>
      <c r="AC140" s="56"/>
      <c r="AD140" s="56"/>
      <c r="AE140" s="56"/>
      <c r="AF140" s="56"/>
      <c r="AK140" s="171"/>
      <c r="AL140" s="171"/>
      <c r="AM140" s="171"/>
      <c r="AN140" s="171"/>
      <c r="AO140" s="171"/>
      <c r="AP140" s="171"/>
      <c r="AQ140" s="171"/>
      <c r="AR140" s="171"/>
      <c r="AS140" s="171"/>
    </row>
    <row r="141" spans="1:45" s="50" customFormat="1" ht="25.5">
      <c r="A141" s="31" t="s">
        <v>210</v>
      </c>
      <c r="B141" s="32" t="s">
        <v>115</v>
      </c>
      <c r="C141" s="33" t="s">
        <v>117</v>
      </c>
      <c r="D141" s="33" t="s">
        <v>116</v>
      </c>
      <c r="E141" s="33" t="s">
        <v>112</v>
      </c>
      <c r="F141" s="53" t="s">
        <v>49</v>
      </c>
      <c r="G141" s="103">
        <f t="shared" si="210"/>
        <v>775</v>
      </c>
      <c r="H141" s="53">
        <v>675</v>
      </c>
      <c r="I141" s="53">
        <v>67</v>
      </c>
      <c r="J141" s="53">
        <v>33</v>
      </c>
      <c r="K141" s="89">
        <f t="shared" si="102"/>
        <v>344</v>
      </c>
      <c r="L141" s="53">
        <v>313</v>
      </c>
      <c r="M141" s="53">
        <v>31</v>
      </c>
      <c r="N141" s="53"/>
      <c r="O141" s="89">
        <f t="shared" si="103"/>
        <v>775</v>
      </c>
      <c r="P141" s="92">
        <f t="shared" si="104"/>
        <v>675</v>
      </c>
      <c r="Q141" s="92">
        <f t="shared" si="105"/>
        <v>67</v>
      </c>
      <c r="R141" s="92">
        <f t="shared" si="106"/>
        <v>33</v>
      </c>
      <c r="S141" s="89">
        <f t="shared" si="107"/>
        <v>0</v>
      </c>
      <c r="T141" s="106"/>
      <c r="U141" s="106"/>
      <c r="V141" s="106"/>
      <c r="W141" s="93"/>
      <c r="X141" s="109"/>
      <c r="Y141" s="37"/>
      <c r="Z141" s="55"/>
      <c r="AA141" s="55"/>
      <c r="AB141" s="55"/>
      <c r="AC141" s="56"/>
      <c r="AD141" s="56"/>
      <c r="AE141" s="56"/>
      <c r="AF141" s="56"/>
      <c r="AK141" s="171"/>
      <c r="AL141" s="171"/>
      <c r="AM141" s="171"/>
      <c r="AN141" s="171"/>
      <c r="AO141" s="171"/>
      <c r="AP141" s="171"/>
      <c r="AQ141" s="171"/>
      <c r="AR141" s="171"/>
      <c r="AS141" s="171"/>
    </row>
    <row r="142" spans="1:45" s="50" customFormat="1" ht="25.5">
      <c r="A142" s="31" t="s">
        <v>357</v>
      </c>
      <c r="B142" s="32" t="s">
        <v>286</v>
      </c>
      <c r="C142" s="33" t="s">
        <v>117</v>
      </c>
      <c r="D142" s="33" t="s">
        <v>287</v>
      </c>
      <c r="E142" s="33" t="s">
        <v>112</v>
      </c>
      <c r="F142" s="53" t="s">
        <v>49</v>
      </c>
      <c r="G142" s="103">
        <f t="shared" si="210"/>
        <v>1100</v>
      </c>
      <c r="H142" s="53">
        <v>955</v>
      </c>
      <c r="I142" s="53">
        <v>96</v>
      </c>
      <c r="J142" s="53">
        <v>49</v>
      </c>
      <c r="K142" s="89">
        <f t="shared" si="102"/>
        <v>462</v>
      </c>
      <c r="L142" s="53">
        <v>420</v>
      </c>
      <c r="M142" s="53">
        <v>42</v>
      </c>
      <c r="N142" s="53"/>
      <c r="O142" s="89">
        <f t="shared" si="103"/>
        <v>1100</v>
      </c>
      <c r="P142" s="92">
        <f t="shared" si="104"/>
        <v>955</v>
      </c>
      <c r="Q142" s="92">
        <f t="shared" si="105"/>
        <v>96</v>
      </c>
      <c r="R142" s="92">
        <f t="shared" si="106"/>
        <v>49</v>
      </c>
      <c r="S142" s="89">
        <f t="shared" si="107"/>
        <v>0</v>
      </c>
      <c r="T142" s="106"/>
      <c r="U142" s="106"/>
      <c r="V142" s="106"/>
      <c r="W142" s="93"/>
      <c r="X142" s="109"/>
      <c r="Y142" s="37"/>
      <c r="Z142" s="55"/>
      <c r="AA142" s="55"/>
      <c r="AB142" s="55"/>
      <c r="AC142" s="56"/>
      <c r="AD142" s="56"/>
      <c r="AE142" s="56"/>
      <c r="AF142" s="56"/>
      <c r="AK142" s="171"/>
      <c r="AL142" s="171"/>
      <c r="AM142" s="171"/>
      <c r="AN142" s="171"/>
      <c r="AO142" s="171"/>
      <c r="AP142" s="171"/>
      <c r="AQ142" s="171"/>
      <c r="AR142" s="171"/>
      <c r="AS142" s="171"/>
    </row>
    <row r="143" spans="1:45" s="183" customFormat="1" ht="15.75">
      <c r="A143" s="192"/>
      <c r="B143" s="191" t="s">
        <v>277</v>
      </c>
      <c r="C143" s="190"/>
      <c r="D143" s="190"/>
      <c r="E143" s="190"/>
      <c r="F143" s="190"/>
      <c r="G143" s="189">
        <f t="shared" ref="G143:N143" si="212">SUM(G144:G144)</f>
        <v>0</v>
      </c>
      <c r="H143" s="189">
        <f t="shared" si="212"/>
        <v>0</v>
      </c>
      <c r="I143" s="189">
        <f t="shared" si="212"/>
        <v>0</v>
      </c>
      <c r="J143" s="189">
        <f t="shared" si="212"/>
        <v>0</v>
      </c>
      <c r="K143" s="189">
        <f t="shared" si="212"/>
        <v>0</v>
      </c>
      <c r="L143" s="189">
        <f t="shared" si="212"/>
        <v>0</v>
      </c>
      <c r="M143" s="189">
        <f t="shared" si="212"/>
        <v>0</v>
      </c>
      <c r="N143" s="189">
        <f t="shared" si="212"/>
        <v>0</v>
      </c>
      <c r="O143" s="189">
        <v>1027.8836284878487</v>
      </c>
      <c r="P143" s="189">
        <v>893.84538703870385</v>
      </c>
      <c r="Q143" s="189">
        <v>89.34597209720971</v>
      </c>
      <c r="R143" s="189">
        <v>44.692269351935202</v>
      </c>
      <c r="S143" s="189">
        <f>SUM(S144:S144)</f>
        <v>1027.8836284878487</v>
      </c>
      <c r="T143" s="189">
        <f>SUM(T144:T144)</f>
        <v>893.84538703870385</v>
      </c>
      <c r="U143" s="189">
        <f>SUM(U144:U144)</f>
        <v>89.34597209720971</v>
      </c>
      <c r="V143" s="189">
        <f>SUM(V144:V144)</f>
        <v>44.692269351935202</v>
      </c>
      <c r="W143" s="188"/>
      <c r="X143" s="187"/>
      <c r="Y143" s="186"/>
      <c r="Z143" s="185"/>
      <c r="AA143" s="185"/>
      <c r="AB143" s="185"/>
      <c r="AC143" s="184"/>
      <c r="AD143" s="184"/>
      <c r="AE143" s="184"/>
      <c r="AF143" s="184"/>
    </row>
    <row r="144" spans="1:45" s="50" customFormat="1" ht="25.5">
      <c r="A144" s="31"/>
      <c r="B144" s="167" t="s">
        <v>402</v>
      </c>
      <c r="C144" s="197" t="s">
        <v>117</v>
      </c>
      <c r="D144" s="197" t="s">
        <v>403</v>
      </c>
      <c r="E144" s="197" t="s">
        <v>31</v>
      </c>
      <c r="F144" s="33" t="s">
        <v>358</v>
      </c>
      <c r="G144" s="103">
        <f>H144+I144+J144</f>
        <v>0</v>
      </c>
      <c r="H144" s="53"/>
      <c r="I144" s="53"/>
      <c r="J144" s="53"/>
      <c r="K144" s="89">
        <f t="shared" ref="K144" si="213">L144+M144+N144</f>
        <v>0</v>
      </c>
      <c r="L144" s="53"/>
      <c r="M144" s="53"/>
      <c r="N144" s="53"/>
      <c r="O144" s="89">
        <f t="shared" ref="O144" si="214">P144+Q144+R144</f>
        <v>1027.8836284878487</v>
      </c>
      <c r="P144" s="92">
        <f>P143</f>
        <v>893.84538703870385</v>
      </c>
      <c r="Q144" s="92">
        <f t="shared" ref="Q144:R144" si="215">Q143</f>
        <v>89.34597209720971</v>
      </c>
      <c r="R144" s="92">
        <f t="shared" si="215"/>
        <v>44.692269351935202</v>
      </c>
      <c r="S144" s="89">
        <f t="shared" ref="S144" si="216">T144+U144+V144</f>
        <v>1027.8836284878487</v>
      </c>
      <c r="T144" s="106">
        <f t="shared" ref="T144" si="217">P144</f>
        <v>893.84538703870385</v>
      </c>
      <c r="U144" s="106">
        <f t="shared" ref="U144" si="218">Q144</f>
        <v>89.34597209720971</v>
      </c>
      <c r="V144" s="106">
        <f t="shared" ref="V144" si="219">R144</f>
        <v>44.692269351935202</v>
      </c>
      <c r="W144" s="93" t="s">
        <v>368</v>
      </c>
      <c r="X144" s="109"/>
      <c r="Y144" s="37">
        <v>88</v>
      </c>
      <c r="Z144" s="55" t="e">
        <f>H144/$G144</f>
        <v>#DIV/0!</v>
      </c>
      <c r="AA144" s="55" t="e">
        <f>I144/$G144</f>
        <v>#DIV/0!</v>
      </c>
      <c r="AB144" s="55" t="e">
        <f>J144/$G144</f>
        <v>#DIV/0!</v>
      </c>
      <c r="AC144" s="56" t="e">
        <f>ROUNDDOWN($Y144*Z144,0)+1</f>
        <v>#DIV/0!</v>
      </c>
      <c r="AD144" s="56" t="e">
        <f t="shared" ref="AD144" si="220">ROUNDDOWN($Y144*AA144,0)</f>
        <v>#DIV/0!</v>
      </c>
      <c r="AE144" s="56" t="e">
        <f>ROUNDDOWN($Y144*AB144,0)+1</f>
        <v>#DIV/0!</v>
      </c>
      <c r="AF144" s="56" t="e">
        <f>Y144-AC144-AD144-AE144</f>
        <v>#DIV/0!</v>
      </c>
      <c r="AK144" s="171"/>
      <c r="AL144" s="171"/>
      <c r="AM144" s="171"/>
      <c r="AN144" s="171"/>
      <c r="AO144" s="171"/>
      <c r="AP144" s="171"/>
      <c r="AQ144" s="171"/>
      <c r="AR144" s="171"/>
      <c r="AS144" s="171"/>
    </row>
    <row r="145" spans="1:45" s="5" customFormat="1" ht="15.75">
      <c r="A145" s="132">
        <v>9</v>
      </c>
      <c r="B145" s="133" t="s">
        <v>32</v>
      </c>
      <c r="C145" s="133"/>
      <c r="D145" s="133"/>
      <c r="E145" s="133"/>
      <c r="F145" s="133"/>
      <c r="G145" s="193">
        <f>SUM(G146:G151)</f>
        <v>11074</v>
      </c>
      <c r="H145" s="193">
        <f t="shared" ref="H145:V145" si="221">SUM(H146:H151)</f>
        <v>9629</v>
      </c>
      <c r="I145" s="193">
        <f t="shared" si="221"/>
        <v>964</v>
      </c>
      <c r="J145" s="193">
        <f t="shared" si="221"/>
        <v>481</v>
      </c>
      <c r="K145" s="193">
        <f t="shared" si="221"/>
        <v>8250</v>
      </c>
      <c r="L145" s="193">
        <f t="shared" si="221"/>
        <v>7502</v>
      </c>
      <c r="M145" s="193">
        <f t="shared" si="221"/>
        <v>748</v>
      </c>
      <c r="N145" s="193">
        <f t="shared" si="221"/>
        <v>0</v>
      </c>
      <c r="O145" s="193">
        <f t="shared" si="221"/>
        <v>12075.549005045241</v>
      </c>
      <c r="P145" s="193">
        <f t="shared" si="221"/>
        <v>10499.944855275002</v>
      </c>
      <c r="Q145" s="193">
        <f t="shared" si="221"/>
        <v>1051.0569070064901</v>
      </c>
      <c r="R145" s="193">
        <f t="shared" si="221"/>
        <v>524.54724276375009</v>
      </c>
      <c r="S145" s="193">
        <f t="shared" si="221"/>
        <v>1001.5490050452414</v>
      </c>
      <c r="T145" s="193">
        <f t="shared" si="221"/>
        <v>870.94485527500115</v>
      </c>
      <c r="U145" s="193">
        <f t="shared" si="221"/>
        <v>87.056907006490135</v>
      </c>
      <c r="V145" s="193">
        <f t="shared" si="221"/>
        <v>43.547242763750063</v>
      </c>
      <c r="W145" s="125"/>
      <c r="X145" s="126"/>
      <c r="Y145" s="126"/>
      <c r="Z145" s="126"/>
      <c r="AA145" s="105"/>
      <c r="AB145" s="105">
        <f>SUM(J146:J149)-J145</f>
        <v>-28</v>
      </c>
      <c r="AC145" s="105">
        <f>SUM(O146:O149)-O145</f>
        <v>-1652.5490050452408</v>
      </c>
      <c r="AD145" s="105">
        <f>SUM(P146:P149)-P145</f>
        <v>-1436.9448552750018</v>
      </c>
      <c r="AE145" s="105">
        <f>SUM(Q146:Q149)-Q145</f>
        <v>-144.05690700649006</v>
      </c>
      <c r="AF145" s="105">
        <f>SUM(R146:R149)-R145</f>
        <v>-71.547242763750091</v>
      </c>
      <c r="AK145" s="171"/>
      <c r="AL145" s="171"/>
      <c r="AM145" s="171"/>
      <c r="AN145" s="171"/>
      <c r="AO145" s="171"/>
      <c r="AP145" s="171"/>
      <c r="AQ145" s="171"/>
      <c r="AR145" s="171"/>
      <c r="AS145" s="171"/>
    </row>
    <row r="146" spans="1:45" s="50" customFormat="1" ht="51">
      <c r="A146" s="31" t="s">
        <v>211</v>
      </c>
      <c r="B146" s="32" t="s">
        <v>118</v>
      </c>
      <c r="C146" s="33" t="s">
        <v>251</v>
      </c>
      <c r="D146" s="33" t="s">
        <v>119</v>
      </c>
      <c r="E146" s="33" t="s">
        <v>120</v>
      </c>
      <c r="F146" s="33" t="s">
        <v>45</v>
      </c>
      <c r="G146" s="103">
        <f t="shared" si="210"/>
        <v>6968</v>
      </c>
      <c r="H146" s="53">
        <v>6059</v>
      </c>
      <c r="I146" s="53">
        <v>606</v>
      </c>
      <c r="J146" s="53">
        <v>303</v>
      </c>
      <c r="K146" s="89">
        <f t="shared" si="102"/>
        <v>6486</v>
      </c>
      <c r="L146" s="53">
        <v>5897</v>
      </c>
      <c r="M146" s="53">
        <v>589</v>
      </c>
      <c r="N146" s="53"/>
      <c r="O146" s="89">
        <f t="shared" si="103"/>
        <v>6968</v>
      </c>
      <c r="P146" s="92">
        <f t="shared" si="104"/>
        <v>6059</v>
      </c>
      <c r="Q146" s="92">
        <f t="shared" si="105"/>
        <v>606</v>
      </c>
      <c r="R146" s="92">
        <f t="shared" si="106"/>
        <v>303</v>
      </c>
      <c r="S146" s="89">
        <f t="shared" si="107"/>
        <v>0</v>
      </c>
      <c r="T146" s="54"/>
      <c r="U146" s="54"/>
      <c r="V146" s="54"/>
      <c r="W146" s="93"/>
      <c r="X146" s="109"/>
      <c r="Y146" s="37">
        <v>1</v>
      </c>
      <c r="Z146" s="55"/>
      <c r="AA146" s="55"/>
      <c r="AB146" s="55"/>
      <c r="AC146" s="56"/>
      <c r="AD146" s="56"/>
      <c r="AE146" s="56"/>
      <c r="AF146" s="56"/>
      <c r="AK146" s="171"/>
      <c r="AL146" s="171"/>
      <c r="AM146" s="171"/>
      <c r="AN146" s="171"/>
      <c r="AO146" s="171"/>
      <c r="AP146" s="171"/>
      <c r="AQ146" s="171"/>
      <c r="AR146" s="171"/>
      <c r="AS146" s="171"/>
    </row>
    <row r="147" spans="1:45" s="50" customFormat="1" ht="25.5">
      <c r="A147" s="31" t="s">
        <v>212</v>
      </c>
      <c r="B147" s="32" t="s">
        <v>121</v>
      </c>
      <c r="C147" s="33" t="s">
        <v>124</v>
      </c>
      <c r="D147" s="195" t="s">
        <v>269</v>
      </c>
      <c r="E147" s="33" t="s">
        <v>120</v>
      </c>
      <c r="F147" s="33" t="s">
        <v>49</v>
      </c>
      <c r="G147" s="103">
        <f t="shared" si="210"/>
        <v>816</v>
      </c>
      <c r="H147" s="53">
        <v>709</v>
      </c>
      <c r="I147" s="53">
        <v>71</v>
      </c>
      <c r="J147" s="53">
        <v>36</v>
      </c>
      <c r="K147" s="89">
        <f t="shared" si="102"/>
        <v>343</v>
      </c>
      <c r="L147" s="53">
        <v>312</v>
      </c>
      <c r="M147" s="53">
        <v>31</v>
      </c>
      <c r="N147" s="53"/>
      <c r="O147" s="89">
        <f t="shared" si="103"/>
        <v>816</v>
      </c>
      <c r="P147" s="92">
        <f t="shared" si="104"/>
        <v>709</v>
      </c>
      <c r="Q147" s="92">
        <f t="shared" si="105"/>
        <v>71</v>
      </c>
      <c r="R147" s="92">
        <f t="shared" si="106"/>
        <v>36</v>
      </c>
      <c r="S147" s="89">
        <f t="shared" si="107"/>
        <v>0</v>
      </c>
      <c r="T147" s="54"/>
      <c r="U147" s="54"/>
      <c r="V147" s="54"/>
      <c r="W147" s="93"/>
      <c r="X147" s="109"/>
      <c r="Y147" s="37"/>
      <c r="Z147" s="55"/>
      <c r="AA147" s="55"/>
      <c r="AB147" s="55"/>
      <c r="AC147" s="56"/>
      <c r="AD147" s="56"/>
      <c r="AE147" s="56"/>
      <c r="AF147" s="56"/>
      <c r="AK147" s="171"/>
      <c r="AL147" s="171"/>
      <c r="AM147" s="171"/>
      <c r="AN147" s="171"/>
      <c r="AO147" s="171"/>
      <c r="AP147" s="171"/>
      <c r="AQ147" s="171"/>
      <c r="AR147" s="171"/>
      <c r="AS147" s="171"/>
    </row>
    <row r="148" spans="1:45" s="50" customFormat="1" ht="25.5">
      <c r="A148" s="31" t="s">
        <v>213</v>
      </c>
      <c r="B148" s="32" t="s">
        <v>122</v>
      </c>
      <c r="C148" s="33" t="s">
        <v>124</v>
      </c>
      <c r="D148" s="135" t="s">
        <v>271</v>
      </c>
      <c r="E148" s="33" t="s">
        <v>120</v>
      </c>
      <c r="F148" s="33" t="s">
        <v>49</v>
      </c>
      <c r="G148" s="103">
        <f t="shared" si="210"/>
        <v>1173</v>
      </c>
      <c r="H148" s="53">
        <v>1020</v>
      </c>
      <c r="I148" s="53">
        <v>102</v>
      </c>
      <c r="J148" s="53">
        <v>51</v>
      </c>
      <c r="K148" s="89">
        <f t="shared" si="102"/>
        <v>504</v>
      </c>
      <c r="L148" s="53">
        <v>459</v>
      </c>
      <c r="M148" s="53">
        <v>45</v>
      </c>
      <c r="N148" s="53"/>
      <c r="O148" s="89">
        <f t="shared" si="103"/>
        <v>1173</v>
      </c>
      <c r="P148" s="92">
        <f t="shared" si="104"/>
        <v>1020</v>
      </c>
      <c r="Q148" s="92">
        <f t="shared" si="105"/>
        <v>102</v>
      </c>
      <c r="R148" s="92">
        <f t="shared" si="106"/>
        <v>51</v>
      </c>
      <c r="S148" s="89">
        <f t="shared" si="107"/>
        <v>0</v>
      </c>
      <c r="T148" s="54"/>
      <c r="U148" s="54"/>
      <c r="V148" s="54"/>
      <c r="W148" s="93"/>
      <c r="X148" s="109"/>
      <c r="Y148" s="37"/>
      <c r="Z148" s="55"/>
      <c r="AA148" s="55"/>
      <c r="AB148" s="55"/>
      <c r="AC148" s="56"/>
      <c r="AD148" s="56"/>
      <c r="AE148" s="56"/>
      <c r="AF148" s="56"/>
      <c r="AK148" s="171"/>
      <c r="AL148" s="171"/>
      <c r="AM148" s="171"/>
      <c r="AN148" s="171"/>
      <c r="AO148" s="171"/>
      <c r="AP148" s="171"/>
      <c r="AQ148" s="171"/>
      <c r="AR148" s="171"/>
      <c r="AS148" s="171"/>
    </row>
    <row r="149" spans="1:45" s="50" customFormat="1" ht="25.5">
      <c r="A149" s="31" t="s">
        <v>214</v>
      </c>
      <c r="B149" s="32" t="s">
        <v>123</v>
      </c>
      <c r="C149" s="33" t="s">
        <v>124</v>
      </c>
      <c r="D149" s="135" t="s">
        <v>272</v>
      </c>
      <c r="E149" s="33" t="s">
        <v>120</v>
      </c>
      <c r="F149" s="33" t="s">
        <v>49</v>
      </c>
      <c r="G149" s="103">
        <f t="shared" si="210"/>
        <v>1466</v>
      </c>
      <c r="H149" s="53">
        <v>1275</v>
      </c>
      <c r="I149" s="53">
        <v>128</v>
      </c>
      <c r="J149" s="53">
        <v>63</v>
      </c>
      <c r="K149" s="89">
        <f t="shared" si="102"/>
        <v>630</v>
      </c>
      <c r="L149" s="53">
        <v>573</v>
      </c>
      <c r="M149" s="53">
        <v>57</v>
      </c>
      <c r="N149" s="53"/>
      <c r="O149" s="89">
        <f t="shared" si="103"/>
        <v>1466</v>
      </c>
      <c r="P149" s="92">
        <f t="shared" si="104"/>
        <v>1275</v>
      </c>
      <c r="Q149" s="92">
        <f t="shared" si="105"/>
        <v>128</v>
      </c>
      <c r="R149" s="92">
        <f t="shared" si="106"/>
        <v>63</v>
      </c>
      <c r="S149" s="89">
        <f t="shared" si="107"/>
        <v>0</v>
      </c>
      <c r="T149" s="54"/>
      <c r="U149" s="54"/>
      <c r="V149" s="54"/>
      <c r="W149" s="93"/>
      <c r="X149" s="109"/>
      <c r="Y149" s="37"/>
      <c r="Z149" s="55"/>
      <c r="AA149" s="55"/>
      <c r="AB149" s="55"/>
      <c r="AC149" s="56"/>
      <c r="AD149" s="56"/>
      <c r="AE149" s="56"/>
      <c r="AF149" s="56"/>
      <c r="AK149" s="171"/>
      <c r="AL149" s="171"/>
      <c r="AM149" s="171"/>
      <c r="AN149" s="171"/>
      <c r="AO149" s="171"/>
      <c r="AP149" s="171"/>
      <c r="AQ149" s="171"/>
      <c r="AR149" s="171"/>
      <c r="AS149" s="171"/>
    </row>
    <row r="150" spans="1:45" s="50" customFormat="1" ht="25.5">
      <c r="A150" s="31" t="s">
        <v>356</v>
      </c>
      <c r="B150" s="32" t="s">
        <v>355</v>
      </c>
      <c r="C150" s="33" t="s">
        <v>124</v>
      </c>
      <c r="D150" s="135" t="s">
        <v>354</v>
      </c>
      <c r="E150" s="33" t="s">
        <v>120</v>
      </c>
      <c r="F150" s="33" t="s">
        <v>49</v>
      </c>
      <c r="G150" s="103">
        <f t="shared" ref="G150" si="222">SUM(H150:J150)</f>
        <v>651</v>
      </c>
      <c r="H150" s="53">
        <v>566</v>
      </c>
      <c r="I150" s="53">
        <v>57</v>
      </c>
      <c r="J150" s="53">
        <v>28</v>
      </c>
      <c r="K150" s="89">
        <f t="shared" ref="K150" si="223">L150+M150+N150</f>
        <v>287</v>
      </c>
      <c r="L150" s="53">
        <v>261</v>
      </c>
      <c r="M150" s="53">
        <v>26</v>
      </c>
      <c r="N150" s="53"/>
      <c r="O150" s="89">
        <f t="shared" ref="O150" si="224">P150+Q150+R150</f>
        <v>651</v>
      </c>
      <c r="P150" s="92">
        <f t="shared" ref="P150" si="225">H150+T150</f>
        <v>566</v>
      </c>
      <c r="Q150" s="92">
        <f t="shared" ref="Q150" si="226">I150+U150</f>
        <v>57</v>
      </c>
      <c r="R150" s="92">
        <f t="shared" ref="R150" si="227">J150+V150</f>
        <v>28</v>
      </c>
      <c r="S150" s="89">
        <f t="shared" ref="S150" si="228">T150+U150+V150</f>
        <v>0</v>
      </c>
      <c r="T150" s="54"/>
      <c r="U150" s="54"/>
      <c r="V150" s="54"/>
      <c r="W150" s="93"/>
      <c r="X150" s="109"/>
      <c r="Y150" s="37"/>
      <c r="Z150" s="55"/>
      <c r="AA150" s="55"/>
      <c r="AB150" s="55"/>
      <c r="AC150" s="56"/>
      <c r="AD150" s="56"/>
      <c r="AE150" s="56"/>
      <c r="AF150" s="56"/>
      <c r="AK150" s="171"/>
      <c r="AL150" s="171"/>
      <c r="AM150" s="171"/>
      <c r="AN150" s="171"/>
      <c r="AO150" s="171"/>
      <c r="AP150" s="171"/>
      <c r="AQ150" s="171"/>
      <c r="AR150" s="171"/>
      <c r="AS150" s="171"/>
    </row>
    <row r="151" spans="1:45" s="183" customFormat="1" ht="15.75">
      <c r="A151" s="192"/>
      <c r="B151" s="191" t="s">
        <v>277</v>
      </c>
      <c r="C151" s="190"/>
      <c r="D151" s="190"/>
      <c r="E151" s="190"/>
      <c r="F151" s="190"/>
      <c r="G151" s="189">
        <f t="shared" ref="G151:N151" si="229">SUM(G152:G152)</f>
        <v>0</v>
      </c>
      <c r="H151" s="189">
        <f t="shared" si="229"/>
        <v>0</v>
      </c>
      <c r="I151" s="189">
        <f t="shared" si="229"/>
        <v>0</v>
      </c>
      <c r="J151" s="189">
        <f t="shared" si="229"/>
        <v>0</v>
      </c>
      <c r="K151" s="189">
        <f t="shared" si="229"/>
        <v>0</v>
      </c>
      <c r="L151" s="189">
        <f t="shared" si="229"/>
        <v>0</v>
      </c>
      <c r="M151" s="189">
        <f t="shared" si="229"/>
        <v>0</v>
      </c>
      <c r="N151" s="189">
        <f t="shared" si="229"/>
        <v>0</v>
      </c>
      <c r="O151" s="189">
        <v>1001.5490050452414</v>
      </c>
      <c r="P151" s="189">
        <v>870.94485527500115</v>
      </c>
      <c r="Q151" s="189">
        <v>87.056907006490135</v>
      </c>
      <c r="R151" s="189">
        <v>43.547242763750063</v>
      </c>
      <c r="S151" s="189">
        <f>SUM(S152:S152)</f>
        <v>1001.5490050452414</v>
      </c>
      <c r="T151" s="189">
        <f>SUM(T152:T152)</f>
        <v>870.94485527500115</v>
      </c>
      <c r="U151" s="189">
        <f>SUM(U152:U152)</f>
        <v>87.056907006490135</v>
      </c>
      <c r="V151" s="189">
        <f>SUM(V152:V152)</f>
        <v>43.547242763750063</v>
      </c>
      <c r="W151" s="188"/>
      <c r="X151" s="187"/>
      <c r="Y151" s="186"/>
      <c r="Z151" s="185"/>
      <c r="AA151" s="185"/>
      <c r="AB151" s="185"/>
      <c r="AC151" s="184"/>
      <c r="AD151" s="184"/>
      <c r="AE151" s="184"/>
      <c r="AF151" s="184"/>
    </row>
    <row r="152" spans="1:45" s="50" customFormat="1" ht="25.5">
      <c r="A152" s="31"/>
      <c r="B152" s="32" t="s">
        <v>404</v>
      </c>
      <c r="C152" s="33" t="s">
        <v>124</v>
      </c>
      <c r="D152" s="135" t="s">
        <v>405</v>
      </c>
      <c r="E152" s="33" t="s">
        <v>120</v>
      </c>
      <c r="F152" s="33" t="s">
        <v>358</v>
      </c>
      <c r="G152" s="103">
        <f>H152+I152+J152</f>
        <v>0</v>
      </c>
      <c r="H152" s="53"/>
      <c r="I152" s="53"/>
      <c r="J152" s="53"/>
      <c r="K152" s="89">
        <f t="shared" ref="K152" si="230">L152+M152+N152</f>
        <v>0</v>
      </c>
      <c r="L152" s="53"/>
      <c r="M152" s="53"/>
      <c r="N152" s="53"/>
      <c r="O152" s="89">
        <f t="shared" ref="O152" si="231">P152+Q152+R152</f>
        <v>1001.5490050452414</v>
      </c>
      <c r="P152" s="92">
        <f>P151</f>
        <v>870.94485527500115</v>
      </c>
      <c r="Q152" s="92">
        <f t="shared" ref="Q152:R152" si="232">Q151</f>
        <v>87.056907006490135</v>
      </c>
      <c r="R152" s="92">
        <f t="shared" si="232"/>
        <v>43.547242763750063</v>
      </c>
      <c r="S152" s="89">
        <f t="shared" ref="S152" si="233">T152+U152+V152</f>
        <v>1001.5490050452414</v>
      </c>
      <c r="T152" s="54">
        <f t="shared" ref="T152" si="234">P152</f>
        <v>870.94485527500115</v>
      </c>
      <c r="U152" s="54">
        <f t="shared" ref="U152" si="235">Q152</f>
        <v>87.056907006490135</v>
      </c>
      <c r="V152" s="54">
        <f t="shared" ref="V152" si="236">R152</f>
        <v>43.547242763750063</v>
      </c>
      <c r="W152" s="93" t="s">
        <v>368</v>
      </c>
      <c r="X152" s="109"/>
      <c r="Y152" s="37">
        <v>88</v>
      </c>
      <c r="Z152" s="55" t="e">
        <f>H152/$G152</f>
        <v>#DIV/0!</v>
      </c>
      <c r="AA152" s="55" t="e">
        <f>I152/$G152</f>
        <v>#DIV/0!</v>
      </c>
      <c r="AB152" s="55" t="e">
        <f>J152/$G152</f>
        <v>#DIV/0!</v>
      </c>
      <c r="AC152" s="56" t="e">
        <f>ROUNDDOWN($Y152*Z152,0)+1</f>
        <v>#DIV/0!</v>
      </c>
      <c r="AD152" s="56" t="e">
        <f t="shared" ref="AD152" si="237">ROUNDDOWN($Y152*AA152,0)</f>
        <v>#DIV/0!</v>
      </c>
      <c r="AE152" s="56" t="e">
        <f>ROUNDDOWN($Y152*AB152,0)+1</f>
        <v>#DIV/0!</v>
      </c>
      <c r="AF152" s="56" t="e">
        <f>Y152-AC152-AD152-AE152</f>
        <v>#DIV/0!</v>
      </c>
      <c r="AK152" s="171"/>
      <c r="AL152" s="171"/>
      <c r="AM152" s="171"/>
      <c r="AN152" s="171"/>
      <c r="AO152" s="171"/>
      <c r="AP152" s="171"/>
      <c r="AQ152" s="171"/>
      <c r="AR152" s="171"/>
      <c r="AS152" s="171"/>
    </row>
    <row r="153" spans="1:45" s="5" customFormat="1" ht="15.75">
      <c r="A153" s="132">
        <v>10</v>
      </c>
      <c r="B153" s="133" t="s">
        <v>33</v>
      </c>
      <c r="C153" s="133"/>
      <c r="D153" s="133"/>
      <c r="E153" s="133"/>
      <c r="F153" s="133"/>
      <c r="G153" s="193">
        <f>SUM(G154:G158)</f>
        <v>10526</v>
      </c>
      <c r="H153" s="193">
        <f t="shared" ref="H153:V153" si="238">SUM(H154:H158)</f>
        <v>9153</v>
      </c>
      <c r="I153" s="193">
        <f t="shared" si="238"/>
        <v>915</v>
      </c>
      <c r="J153" s="193">
        <f t="shared" si="238"/>
        <v>458</v>
      </c>
      <c r="K153" s="193">
        <f t="shared" si="238"/>
        <v>7167.2</v>
      </c>
      <c r="L153" s="193">
        <f t="shared" si="238"/>
        <v>6333</v>
      </c>
      <c r="M153" s="193">
        <f t="shared" si="238"/>
        <v>631</v>
      </c>
      <c r="N153" s="193">
        <f t="shared" si="238"/>
        <v>203.2</v>
      </c>
      <c r="O153" s="193">
        <f t="shared" si="238"/>
        <v>11530.247806800417</v>
      </c>
      <c r="P153" s="193">
        <f t="shared" si="238"/>
        <v>10026.29172746222</v>
      </c>
      <c r="Q153" s="193">
        <f t="shared" si="238"/>
        <v>1002.291492965086</v>
      </c>
      <c r="R153" s="193">
        <f t="shared" si="238"/>
        <v>501.66458637311098</v>
      </c>
      <c r="S153" s="193">
        <f t="shared" si="238"/>
        <v>1004.2478068004168</v>
      </c>
      <c r="T153" s="193">
        <f t="shared" si="238"/>
        <v>873.29172746221991</v>
      </c>
      <c r="U153" s="193">
        <f t="shared" si="238"/>
        <v>87.291492965085993</v>
      </c>
      <c r="V153" s="193">
        <f t="shared" si="238"/>
        <v>43.664586373111</v>
      </c>
      <c r="W153" s="125"/>
      <c r="X153" s="126"/>
      <c r="Y153" s="126"/>
      <c r="Z153" s="126"/>
      <c r="AA153" s="105"/>
      <c r="AB153" s="105">
        <f>SUM(J154:J157)-J153</f>
        <v>0</v>
      </c>
      <c r="AC153" s="105">
        <f>SUM(O154:O157)-O153</f>
        <v>-1004.2478068004166</v>
      </c>
      <c r="AD153" s="105">
        <f>SUM(P154:P157)-P153</f>
        <v>-873.29172746221957</v>
      </c>
      <c r="AE153" s="105">
        <f>SUM(Q154:Q157)-Q153</f>
        <v>-87.291492965086036</v>
      </c>
      <c r="AF153" s="105">
        <f>SUM(R154:R157)-R153</f>
        <v>-43.664586373110978</v>
      </c>
      <c r="AK153" s="171"/>
      <c r="AL153" s="171"/>
      <c r="AM153" s="171"/>
      <c r="AN153" s="171"/>
      <c r="AO153" s="171"/>
      <c r="AP153" s="171"/>
      <c r="AQ153" s="171"/>
      <c r="AR153" s="171"/>
      <c r="AS153" s="171"/>
    </row>
    <row r="154" spans="1:45" s="50" customFormat="1" ht="127.5">
      <c r="A154" s="31" t="s">
        <v>215</v>
      </c>
      <c r="B154" s="32" t="s">
        <v>125</v>
      </c>
      <c r="C154" s="33" t="s">
        <v>251</v>
      </c>
      <c r="D154" s="33" t="s">
        <v>129</v>
      </c>
      <c r="E154" s="33" t="s">
        <v>130</v>
      </c>
      <c r="F154" s="33" t="s">
        <v>45</v>
      </c>
      <c r="G154" s="103">
        <f t="shared" si="210"/>
        <v>4724</v>
      </c>
      <c r="H154" s="53">
        <v>4108</v>
      </c>
      <c r="I154" s="53">
        <v>411</v>
      </c>
      <c r="J154" s="53">
        <v>205</v>
      </c>
      <c r="K154" s="89">
        <f t="shared" si="102"/>
        <v>4674.2</v>
      </c>
      <c r="L154" s="53">
        <v>4064</v>
      </c>
      <c r="M154" s="53">
        <v>407</v>
      </c>
      <c r="N154" s="53">
        <v>203.2</v>
      </c>
      <c r="O154" s="89">
        <f t="shared" si="103"/>
        <v>4724</v>
      </c>
      <c r="P154" s="92">
        <f t="shared" si="104"/>
        <v>4108</v>
      </c>
      <c r="Q154" s="92">
        <f t="shared" si="105"/>
        <v>411</v>
      </c>
      <c r="R154" s="92">
        <f t="shared" si="106"/>
        <v>205</v>
      </c>
      <c r="S154" s="89">
        <f t="shared" si="107"/>
        <v>0</v>
      </c>
      <c r="T154" s="54"/>
      <c r="U154" s="54"/>
      <c r="V154" s="54"/>
      <c r="W154" s="93"/>
      <c r="X154" s="109"/>
      <c r="Y154" s="37">
        <v>255</v>
      </c>
      <c r="Z154" s="55">
        <f>H154/$G154</f>
        <v>0.86960203217612198</v>
      </c>
      <c r="AA154" s="55">
        <f>I154/$G154</f>
        <v>8.7002540220152413E-2</v>
      </c>
      <c r="AB154" s="55">
        <f>J154/$G154</f>
        <v>4.3395427603725653E-2</v>
      </c>
      <c r="AC154" s="56">
        <f>ROUNDDOWN($Y154*Z154,0)+1</f>
        <v>222</v>
      </c>
      <c r="AD154" s="56">
        <f t="shared" ref="AD154" si="239">ROUNDDOWN($Y154*AA154,0)</f>
        <v>22</v>
      </c>
      <c r="AE154" s="56">
        <f>ROUNDDOWN($Y154*AB154,0)</f>
        <v>11</v>
      </c>
      <c r="AF154" s="56">
        <f>Y154-AC154-AD154-AE154</f>
        <v>0</v>
      </c>
      <c r="AK154" s="171"/>
      <c r="AL154" s="171"/>
      <c r="AM154" s="171"/>
      <c r="AN154" s="171"/>
      <c r="AO154" s="171"/>
      <c r="AP154" s="171"/>
      <c r="AQ154" s="171"/>
      <c r="AR154" s="171"/>
      <c r="AS154" s="171"/>
    </row>
    <row r="155" spans="1:45" s="50" customFormat="1" ht="38.25">
      <c r="A155" s="31" t="s">
        <v>216</v>
      </c>
      <c r="B155" s="32" t="s">
        <v>126</v>
      </c>
      <c r="C155" s="33" t="s">
        <v>133</v>
      </c>
      <c r="D155" s="33" t="s">
        <v>90</v>
      </c>
      <c r="E155" s="33" t="s">
        <v>130</v>
      </c>
      <c r="F155" s="33" t="s">
        <v>49</v>
      </c>
      <c r="G155" s="103">
        <f t="shared" si="210"/>
        <v>2657</v>
      </c>
      <c r="H155" s="53">
        <v>2310</v>
      </c>
      <c r="I155" s="53">
        <v>231</v>
      </c>
      <c r="J155" s="53">
        <v>116</v>
      </c>
      <c r="K155" s="89">
        <f t="shared" si="102"/>
        <v>1142</v>
      </c>
      <c r="L155" s="53">
        <v>1039</v>
      </c>
      <c r="M155" s="53">
        <v>103</v>
      </c>
      <c r="N155" s="53"/>
      <c r="O155" s="89">
        <f t="shared" si="103"/>
        <v>2657</v>
      </c>
      <c r="P155" s="92">
        <f t="shared" si="104"/>
        <v>2310</v>
      </c>
      <c r="Q155" s="92">
        <f t="shared" si="105"/>
        <v>231</v>
      </c>
      <c r="R155" s="92">
        <f t="shared" si="106"/>
        <v>116</v>
      </c>
      <c r="S155" s="89">
        <f t="shared" si="107"/>
        <v>0</v>
      </c>
      <c r="T155" s="54"/>
      <c r="U155" s="54"/>
      <c r="V155" s="54"/>
      <c r="W155" s="93"/>
      <c r="X155" s="109"/>
      <c r="Y155" s="37"/>
      <c r="Z155" s="55"/>
      <c r="AA155" s="55"/>
      <c r="AB155" s="55"/>
      <c r="AC155" s="56"/>
      <c r="AD155" s="56"/>
      <c r="AE155" s="56"/>
      <c r="AF155" s="56"/>
      <c r="AK155" s="171"/>
      <c r="AL155" s="171"/>
      <c r="AM155" s="171"/>
      <c r="AN155" s="171"/>
      <c r="AO155" s="171"/>
      <c r="AP155" s="171"/>
      <c r="AQ155" s="171"/>
      <c r="AR155" s="171"/>
      <c r="AS155" s="171"/>
    </row>
    <row r="156" spans="1:45" s="50" customFormat="1" ht="25.5">
      <c r="A156" s="31" t="s">
        <v>217</v>
      </c>
      <c r="B156" s="32" t="s">
        <v>127</v>
      </c>
      <c r="C156" s="33" t="s">
        <v>133</v>
      </c>
      <c r="D156" s="33" t="s">
        <v>131</v>
      </c>
      <c r="E156" s="33" t="s">
        <v>130</v>
      </c>
      <c r="F156" s="33" t="s">
        <v>49</v>
      </c>
      <c r="G156" s="103">
        <f t="shared" si="210"/>
        <v>2558</v>
      </c>
      <c r="H156" s="53">
        <v>2225</v>
      </c>
      <c r="I156" s="53">
        <v>222</v>
      </c>
      <c r="J156" s="53">
        <v>111</v>
      </c>
      <c r="K156" s="89">
        <f t="shared" si="102"/>
        <v>1100</v>
      </c>
      <c r="L156" s="53">
        <v>1001</v>
      </c>
      <c r="M156" s="53">
        <v>99</v>
      </c>
      <c r="N156" s="53"/>
      <c r="O156" s="89">
        <f t="shared" si="103"/>
        <v>2558</v>
      </c>
      <c r="P156" s="92">
        <f t="shared" si="104"/>
        <v>2225</v>
      </c>
      <c r="Q156" s="92">
        <f t="shared" si="105"/>
        <v>222</v>
      </c>
      <c r="R156" s="92">
        <f t="shared" si="106"/>
        <v>111</v>
      </c>
      <c r="S156" s="89">
        <f t="shared" si="107"/>
        <v>0</v>
      </c>
      <c r="T156" s="54"/>
      <c r="U156" s="54"/>
      <c r="V156" s="54"/>
      <c r="W156" s="93"/>
      <c r="X156" s="109"/>
      <c r="Y156" s="37"/>
      <c r="Z156" s="55"/>
      <c r="AA156" s="55"/>
      <c r="AB156" s="55"/>
      <c r="AC156" s="56"/>
      <c r="AD156" s="56"/>
      <c r="AE156" s="56"/>
      <c r="AF156" s="56"/>
      <c r="AK156" s="171"/>
      <c r="AL156" s="171"/>
      <c r="AM156" s="171"/>
      <c r="AN156" s="171"/>
      <c r="AO156" s="171"/>
      <c r="AP156" s="171"/>
      <c r="AQ156" s="171"/>
      <c r="AR156" s="171"/>
      <c r="AS156" s="171"/>
    </row>
    <row r="157" spans="1:45" s="50" customFormat="1" ht="25.5">
      <c r="A157" s="31" t="s">
        <v>218</v>
      </c>
      <c r="B157" s="32" t="s">
        <v>128</v>
      </c>
      <c r="C157" s="33" t="s">
        <v>133</v>
      </c>
      <c r="D157" s="33" t="s">
        <v>132</v>
      </c>
      <c r="E157" s="33" t="s">
        <v>130</v>
      </c>
      <c r="F157" s="33" t="s">
        <v>49</v>
      </c>
      <c r="G157" s="103">
        <f t="shared" si="210"/>
        <v>587</v>
      </c>
      <c r="H157" s="53">
        <v>510</v>
      </c>
      <c r="I157" s="53">
        <v>51</v>
      </c>
      <c r="J157" s="53">
        <v>26</v>
      </c>
      <c r="K157" s="89">
        <f t="shared" si="102"/>
        <v>251</v>
      </c>
      <c r="L157" s="53">
        <v>229</v>
      </c>
      <c r="M157" s="53">
        <v>22</v>
      </c>
      <c r="N157" s="53"/>
      <c r="O157" s="89">
        <f t="shared" si="103"/>
        <v>587</v>
      </c>
      <c r="P157" s="92">
        <f t="shared" si="104"/>
        <v>510</v>
      </c>
      <c r="Q157" s="92">
        <f t="shared" si="105"/>
        <v>51</v>
      </c>
      <c r="R157" s="92">
        <f t="shared" si="106"/>
        <v>26</v>
      </c>
      <c r="S157" s="89">
        <f t="shared" si="107"/>
        <v>0</v>
      </c>
      <c r="T157" s="54"/>
      <c r="U157" s="54"/>
      <c r="V157" s="54"/>
      <c r="W157" s="93"/>
      <c r="X157" s="109"/>
      <c r="Y157" s="37"/>
      <c r="Z157" s="55"/>
      <c r="AA157" s="55"/>
      <c r="AB157" s="55"/>
      <c r="AC157" s="56"/>
      <c r="AD157" s="56"/>
      <c r="AE157" s="56"/>
      <c r="AF157" s="56"/>
      <c r="AK157" s="171"/>
      <c r="AL157" s="171"/>
      <c r="AM157" s="171"/>
      <c r="AN157" s="171"/>
      <c r="AO157" s="171"/>
      <c r="AP157" s="171"/>
      <c r="AQ157" s="171"/>
      <c r="AR157" s="171"/>
      <c r="AS157" s="171"/>
    </row>
    <row r="158" spans="1:45" s="183" customFormat="1" ht="15.75">
      <c r="A158" s="180"/>
      <c r="B158" s="179" t="s">
        <v>277</v>
      </c>
      <c r="C158" s="166"/>
      <c r="D158" s="166"/>
      <c r="E158" s="166"/>
      <c r="F158" s="166"/>
      <c r="G158" s="189">
        <f>SUM(G159:G160)</f>
        <v>0</v>
      </c>
      <c r="H158" s="189">
        <f t="shared" ref="H158" si="240">SUM(H159:H160)</f>
        <v>0</v>
      </c>
      <c r="I158" s="189">
        <f t="shared" ref="I158" si="241">SUM(I159:I160)</f>
        <v>0</v>
      </c>
      <c r="J158" s="189">
        <f t="shared" ref="J158" si="242">SUM(J159:J160)</f>
        <v>0</v>
      </c>
      <c r="K158" s="189">
        <f t="shared" ref="K158" si="243">SUM(K159:K160)</f>
        <v>0</v>
      </c>
      <c r="L158" s="189">
        <f t="shared" ref="L158" si="244">SUM(L159:L160)</f>
        <v>0</v>
      </c>
      <c r="M158" s="189">
        <f t="shared" ref="M158" si="245">SUM(M159:M160)</f>
        <v>0</v>
      </c>
      <c r="N158" s="189">
        <f t="shared" ref="N158" si="246">SUM(N159:N160)</f>
        <v>0</v>
      </c>
      <c r="O158" s="189">
        <v>1004.2478068004169</v>
      </c>
      <c r="P158" s="189">
        <v>873.29172746221991</v>
      </c>
      <c r="Q158" s="189">
        <v>87.291492965085993</v>
      </c>
      <c r="R158" s="189">
        <v>43.664586373111</v>
      </c>
      <c r="S158" s="189">
        <f t="shared" ref="S158" si="247">SUM(S159:S160)</f>
        <v>1004.2478068004168</v>
      </c>
      <c r="T158" s="189">
        <f t="shared" ref="T158" si="248">SUM(T159:T160)</f>
        <v>873.29172746221991</v>
      </c>
      <c r="U158" s="189">
        <f t="shared" ref="U158" si="249">SUM(U159:U160)</f>
        <v>87.291492965085993</v>
      </c>
      <c r="V158" s="189">
        <f t="shared" ref="V158" si="250">SUM(V159:V160)</f>
        <v>43.664586373111</v>
      </c>
      <c r="W158" s="178"/>
      <c r="X158" s="177"/>
      <c r="Y158" s="186"/>
      <c r="Z158" s="185"/>
      <c r="AA158" s="185"/>
      <c r="AB158" s="185"/>
      <c r="AC158" s="184"/>
      <c r="AD158" s="184"/>
      <c r="AE158" s="184"/>
      <c r="AF158" s="184"/>
    </row>
    <row r="159" spans="1:45" s="50" customFormat="1" ht="38.25">
      <c r="A159" s="31"/>
      <c r="B159" s="32" t="s">
        <v>406</v>
      </c>
      <c r="C159" s="33" t="s">
        <v>133</v>
      </c>
      <c r="D159" s="33" t="s">
        <v>354</v>
      </c>
      <c r="E159" s="33" t="s">
        <v>130</v>
      </c>
      <c r="F159" s="33" t="s">
        <v>358</v>
      </c>
      <c r="G159" s="103">
        <f>H159+I159+J159</f>
        <v>0</v>
      </c>
      <c r="H159" s="53"/>
      <c r="I159" s="53"/>
      <c r="J159" s="53"/>
      <c r="K159" s="89">
        <f t="shared" ref="K159:K160" si="251">L159+M159+N159</f>
        <v>0</v>
      </c>
      <c r="L159" s="53"/>
      <c r="M159" s="53"/>
      <c r="N159" s="53"/>
      <c r="O159" s="89">
        <f t="shared" ref="O159:O160" si="252">P159+Q159+R159</f>
        <v>624</v>
      </c>
      <c r="P159" s="92">
        <v>543</v>
      </c>
      <c r="Q159" s="92">
        <v>54</v>
      </c>
      <c r="R159" s="92">
        <v>27</v>
      </c>
      <c r="S159" s="89">
        <f t="shared" ref="S159:S160" si="253">T159+U159+V159</f>
        <v>624</v>
      </c>
      <c r="T159" s="54">
        <f t="shared" ref="T159:T160" si="254">P159</f>
        <v>543</v>
      </c>
      <c r="U159" s="54">
        <f t="shared" ref="U159:U160" si="255">Q159</f>
        <v>54</v>
      </c>
      <c r="V159" s="54">
        <f t="shared" ref="V159:V160" si="256">R159</f>
        <v>27</v>
      </c>
      <c r="W159" s="93" t="s">
        <v>368</v>
      </c>
      <c r="X159" s="109"/>
      <c r="Y159" s="37">
        <v>88</v>
      </c>
      <c r="Z159" s="55" t="e">
        <f>H159/$G159</f>
        <v>#DIV/0!</v>
      </c>
      <c r="AA159" s="55" t="e">
        <f>I159/$G159</f>
        <v>#DIV/0!</v>
      </c>
      <c r="AB159" s="55" t="e">
        <f>J159/$G159</f>
        <v>#DIV/0!</v>
      </c>
      <c r="AC159" s="56" t="e">
        <f>ROUNDDOWN($Y159*Z159,0)+1</f>
        <v>#DIV/0!</v>
      </c>
      <c r="AD159" s="56" t="e">
        <f t="shared" ref="AD159" si="257">ROUNDDOWN($Y159*AA159,0)</f>
        <v>#DIV/0!</v>
      </c>
      <c r="AE159" s="56" t="e">
        <f>ROUNDDOWN($Y159*AB159,0)+1</f>
        <v>#DIV/0!</v>
      </c>
      <c r="AF159" s="56" t="e">
        <f>Y159-AC159-AD159-AE159</f>
        <v>#DIV/0!</v>
      </c>
      <c r="AK159" s="171"/>
      <c r="AL159" s="171"/>
      <c r="AM159" s="171"/>
      <c r="AN159" s="171"/>
      <c r="AO159" s="171"/>
      <c r="AP159" s="171"/>
      <c r="AQ159" s="171"/>
      <c r="AR159" s="171"/>
      <c r="AS159" s="171"/>
    </row>
    <row r="160" spans="1:45" s="50" customFormat="1" ht="38.25">
      <c r="A160" s="31"/>
      <c r="B160" s="32" t="s">
        <v>407</v>
      </c>
      <c r="C160" s="33" t="s">
        <v>133</v>
      </c>
      <c r="D160" s="33" t="s">
        <v>408</v>
      </c>
      <c r="E160" s="33" t="s">
        <v>130</v>
      </c>
      <c r="F160" s="33" t="s">
        <v>358</v>
      </c>
      <c r="G160" s="103">
        <f>H160+I160+J160</f>
        <v>0</v>
      </c>
      <c r="H160" s="53"/>
      <c r="I160" s="53"/>
      <c r="J160" s="53"/>
      <c r="K160" s="89">
        <f t="shared" si="251"/>
        <v>0</v>
      </c>
      <c r="L160" s="53"/>
      <c r="M160" s="53"/>
      <c r="N160" s="53"/>
      <c r="O160" s="89">
        <f t="shared" si="252"/>
        <v>380.24780680041687</v>
      </c>
      <c r="P160" s="92">
        <f>P158-P159</f>
        <v>330.29172746221991</v>
      </c>
      <c r="Q160" s="92">
        <f t="shared" ref="Q160:R160" si="258">Q158-Q159</f>
        <v>33.291492965085993</v>
      </c>
      <c r="R160" s="92">
        <f t="shared" si="258"/>
        <v>16.664586373111</v>
      </c>
      <c r="S160" s="89">
        <f t="shared" si="253"/>
        <v>380.24780680041687</v>
      </c>
      <c r="T160" s="54">
        <f t="shared" si="254"/>
        <v>330.29172746221991</v>
      </c>
      <c r="U160" s="54">
        <f t="shared" si="255"/>
        <v>33.291492965085993</v>
      </c>
      <c r="V160" s="54">
        <f t="shared" si="256"/>
        <v>16.664586373111</v>
      </c>
      <c r="W160" s="93" t="s">
        <v>368</v>
      </c>
      <c r="X160" s="109"/>
      <c r="Y160" s="37"/>
      <c r="Z160" s="55"/>
      <c r="AA160" s="55"/>
      <c r="AB160" s="55"/>
      <c r="AC160" s="56"/>
      <c r="AD160" s="56"/>
      <c r="AE160" s="56"/>
      <c r="AF160" s="56"/>
      <c r="AK160" s="171"/>
      <c r="AL160" s="171"/>
      <c r="AM160" s="171"/>
      <c r="AN160" s="171"/>
      <c r="AO160" s="171"/>
      <c r="AP160" s="171"/>
      <c r="AQ160" s="171"/>
      <c r="AR160" s="171"/>
      <c r="AS160" s="171"/>
    </row>
    <row r="161" spans="1:45" s="5" customFormat="1" ht="15.75">
      <c r="A161" s="132">
        <v>11</v>
      </c>
      <c r="B161" s="133" t="s">
        <v>35</v>
      </c>
      <c r="C161" s="133"/>
      <c r="D161" s="133"/>
      <c r="E161" s="133"/>
      <c r="F161" s="133"/>
      <c r="G161" s="134">
        <f>SUM(G162:G164)</f>
        <v>10234</v>
      </c>
      <c r="H161" s="134">
        <f t="shared" ref="H161:V161" si="259">SUM(H162:H164)</f>
        <v>8898</v>
      </c>
      <c r="I161" s="134">
        <f t="shared" si="259"/>
        <v>891</v>
      </c>
      <c r="J161" s="134">
        <f t="shared" si="259"/>
        <v>445</v>
      </c>
      <c r="K161" s="134">
        <f t="shared" si="259"/>
        <v>6610</v>
      </c>
      <c r="L161" s="134">
        <f t="shared" si="259"/>
        <v>6009</v>
      </c>
      <c r="M161" s="134">
        <f t="shared" si="259"/>
        <v>601</v>
      </c>
      <c r="N161" s="134">
        <f t="shared" si="259"/>
        <v>0</v>
      </c>
      <c r="O161" s="134">
        <f t="shared" si="259"/>
        <v>11263.076782948032</v>
      </c>
      <c r="P161" s="134">
        <f t="shared" si="259"/>
        <v>9792.8829515846319</v>
      </c>
      <c r="Q161" s="134">
        <f t="shared" si="259"/>
        <v>980.44968378416786</v>
      </c>
      <c r="R161" s="134">
        <f t="shared" si="259"/>
        <v>489.74414757923159</v>
      </c>
      <c r="S161" s="134">
        <f t="shared" si="259"/>
        <v>1029.0767829480317</v>
      </c>
      <c r="T161" s="134">
        <f t="shared" si="259"/>
        <v>894.88295158463222</v>
      </c>
      <c r="U161" s="134">
        <f t="shared" si="259"/>
        <v>89.449683784167888</v>
      </c>
      <c r="V161" s="134">
        <f t="shared" si="259"/>
        <v>44.744147579231615</v>
      </c>
      <c r="W161" s="125"/>
      <c r="X161" s="126"/>
      <c r="Y161" s="126"/>
      <c r="Z161" s="126"/>
      <c r="AA161" s="105"/>
      <c r="AB161" s="105">
        <f>SUM(J162:J163)-J161</f>
        <v>0</v>
      </c>
      <c r="AC161" s="105">
        <f>SUM(O162:O163)-O161</f>
        <v>-1029.0767829480319</v>
      </c>
      <c r="AD161" s="105">
        <f>SUM(P162:P163)-P161</f>
        <v>-894.88295158463188</v>
      </c>
      <c r="AE161" s="105">
        <f>SUM(Q162:Q163)-Q161</f>
        <v>-89.44968378416786</v>
      </c>
      <c r="AF161" s="105">
        <f>SUM(R162:R163)-R161</f>
        <v>-44.744147579231594</v>
      </c>
      <c r="AK161" s="171"/>
      <c r="AL161" s="171"/>
      <c r="AM161" s="171"/>
      <c r="AN161" s="171"/>
      <c r="AO161" s="171"/>
      <c r="AP161" s="171"/>
      <c r="AQ161" s="171"/>
      <c r="AR161" s="171"/>
      <c r="AS161" s="171"/>
    </row>
    <row r="162" spans="1:45" s="50" customFormat="1" ht="38.25">
      <c r="A162" s="153" t="s">
        <v>219</v>
      </c>
      <c r="B162" s="154" t="s">
        <v>134</v>
      </c>
      <c r="C162" s="155" t="s">
        <v>251</v>
      </c>
      <c r="D162" s="155" t="s">
        <v>135</v>
      </c>
      <c r="E162" s="155" t="s">
        <v>136</v>
      </c>
      <c r="F162" s="155" t="s">
        <v>62</v>
      </c>
      <c r="G162" s="156">
        <f t="shared" si="210"/>
        <v>8095</v>
      </c>
      <c r="H162" s="157">
        <v>7038</v>
      </c>
      <c r="I162" s="157">
        <v>705</v>
      </c>
      <c r="J162" s="157">
        <v>352</v>
      </c>
      <c r="K162" s="196">
        <f t="shared" si="102"/>
        <v>5690</v>
      </c>
      <c r="L162" s="157">
        <v>5172</v>
      </c>
      <c r="M162" s="157">
        <v>518</v>
      </c>
      <c r="N162" s="157"/>
      <c r="O162" s="196">
        <f t="shared" si="103"/>
        <v>8095</v>
      </c>
      <c r="P162" s="174">
        <f t="shared" si="104"/>
        <v>7038</v>
      </c>
      <c r="Q162" s="174">
        <f t="shared" si="105"/>
        <v>705</v>
      </c>
      <c r="R162" s="174">
        <f t="shared" si="106"/>
        <v>352</v>
      </c>
      <c r="S162" s="196">
        <f t="shared" si="107"/>
        <v>0</v>
      </c>
      <c r="T162" s="159"/>
      <c r="U162" s="159"/>
      <c r="V162" s="159"/>
      <c r="W162" s="161"/>
      <c r="X162" s="162"/>
      <c r="Y162" s="163">
        <v>689</v>
      </c>
      <c r="Z162" s="164">
        <f>H162/$G162</f>
        <v>0.86942557134033349</v>
      </c>
      <c r="AA162" s="164">
        <f>I162/$G162</f>
        <v>8.7090796788140828E-2</v>
      </c>
      <c r="AB162" s="164">
        <f>J162/$G162</f>
        <v>4.3483631871525631E-2</v>
      </c>
      <c r="AC162" s="50">
        <f>ROUNDDOWN($Y162*Z162,0)+1</f>
        <v>600</v>
      </c>
      <c r="AD162" s="50">
        <f t="shared" ref="AD162" si="260">ROUNDDOWN($Y162*AA162,0)</f>
        <v>60</v>
      </c>
      <c r="AE162" s="50">
        <f>ROUNDDOWN($Y162*AB162,0)+1</f>
        <v>30</v>
      </c>
      <c r="AF162" s="50">
        <f>Y162-AC162-AD162-AE162</f>
        <v>-1</v>
      </c>
      <c r="AK162" s="171"/>
      <c r="AL162" s="171"/>
      <c r="AM162" s="171"/>
      <c r="AN162" s="171"/>
      <c r="AO162" s="171"/>
      <c r="AP162" s="171"/>
      <c r="AQ162" s="171"/>
      <c r="AR162" s="171"/>
      <c r="AS162" s="171"/>
    </row>
    <row r="163" spans="1:45" s="50" customFormat="1" ht="25.5">
      <c r="A163" s="31" t="s">
        <v>220</v>
      </c>
      <c r="B163" s="32" t="s">
        <v>137</v>
      </c>
      <c r="C163" s="33" t="s">
        <v>139</v>
      </c>
      <c r="D163" s="33" t="s">
        <v>138</v>
      </c>
      <c r="E163" s="33" t="s">
        <v>136</v>
      </c>
      <c r="F163" s="33" t="s">
        <v>48</v>
      </c>
      <c r="G163" s="103">
        <f t="shared" si="210"/>
        <v>2139</v>
      </c>
      <c r="H163" s="53">
        <v>1860</v>
      </c>
      <c r="I163" s="53">
        <v>186</v>
      </c>
      <c r="J163" s="53">
        <v>93</v>
      </c>
      <c r="K163" s="89">
        <f t="shared" si="102"/>
        <v>920</v>
      </c>
      <c r="L163" s="53">
        <v>837</v>
      </c>
      <c r="M163" s="53">
        <v>83</v>
      </c>
      <c r="N163" s="53"/>
      <c r="O163" s="89">
        <f t="shared" si="103"/>
        <v>2139</v>
      </c>
      <c r="P163" s="92">
        <f t="shared" si="104"/>
        <v>1860</v>
      </c>
      <c r="Q163" s="92">
        <f t="shared" si="105"/>
        <v>186</v>
      </c>
      <c r="R163" s="92">
        <f t="shared" si="106"/>
        <v>93</v>
      </c>
      <c r="S163" s="89">
        <f t="shared" si="107"/>
        <v>0</v>
      </c>
      <c r="T163" s="54"/>
      <c r="U163" s="54"/>
      <c r="V163" s="54"/>
      <c r="W163" s="93"/>
      <c r="X163" s="109"/>
      <c r="Y163" s="37"/>
      <c r="Z163" s="55"/>
      <c r="AA163" s="55"/>
      <c r="AB163" s="55"/>
      <c r="AC163" s="56"/>
      <c r="AD163" s="56"/>
      <c r="AE163" s="56"/>
      <c r="AF163" s="56"/>
      <c r="AK163" s="171"/>
      <c r="AL163" s="171"/>
      <c r="AM163" s="171"/>
      <c r="AN163" s="171"/>
      <c r="AO163" s="171"/>
      <c r="AP163" s="171"/>
      <c r="AQ163" s="171"/>
      <c r="AR163" s="171"/>
      <c r="AS163" s="171"/>
    </row>
    <row r="164" spans="1:45" s="183" customFormat="1" ht="15.75">
      <c r="A164" s="180"/>
      <c r="B164" s="179" t="s">
        <v>277</v>
      </c>
      <c r="C164" s="166"/>
      <c r="D164" s="166"/>
      <c r="E164" s="166"/>
      <c r="F164" s="166"/>
      <c r="G164" s="189">
        <f t="shared" ref="G164:N164" si="261">SUM(G165:G165)</f>
        <v>0</v>
      </c>
      <c r="H164" s="189">
        <f t="shared" si="261"/>
        <v>0</v>
      </c>
      <c r="I164" s="189">
        <f t="shared" si="261"/>
        <v>0</v>
      </c>
      <c r="J164" s="189">
        <f t="shared" si="261"/>
        <v>0</v>
      </c>
      <c r="K164" s="189">
        <f t="shared" si="261"/>
        <v>0</v>
      </c>
      <c r="L164" s="189">
        <f t="shared" si="261"/>
        <v>0</v>
      </c>
      <c r="M164" s="189">
        <f t="shared" si="261"/>
        <v>0</v>
      </c>
      <c r="N164" s="189">
        <f t="shared" si="261"/>
        <v>0</v>
      </c>
      <c r="O164" s="189">
        <v>1029.0767829480317</v>
      </c>
      <c r="P164" s="189">
        <v>894.88295158463222</v>
      </c>
      <c r="Q164" s="189">
        <v>89.449683784167888</v>
      </c>
      <c r="R164" s="189">
        <v>44.744147579231615</v>
      </c>
      <c r="S164" s="189">
        <f>SUM(S165:S165)</f>
        <v>1029.0767829480317</v>
      </c>
      <c r="T164" s="189">
        <f>SUM(T165:T165)</f>
        <v>894.88295158463222</v>
      </c>
      <c r="U164" s="189">
        <f>SUM(U165:U165)</f>
        <v>89.449683784167888</v>
      </c>
      <c r="V164" s="189">
        <f>SUM(V165:V165)</f>
        <v>44.744147579231615</v>
      </c>
      <c r="W164" s="178"/>
      <c r="X164" s="177"/>
      <c r="Y164" s="186"/>
      <c r="Z164" s="185"/>
      <c r="AA164" s="185"/>
      <c r="AB164" s="185"/>
      <c r="AC164" s="184"/>
      <c r="AD164" s="184"/>
      <c r="AE164" s="184"/>
      <c r="AF164" s="184"/>
    </row>
    <row r="165" spans="1:45" s="50" customFormat="1" ht="25.5">
      <c r="A165" s="31"/>
      <c r="B165" s="32" t="s">
        <v>409</v>
      </c>
      <c r="C165" s="33" t="s">
        <v>139</v>
      </c>
      <c r="D165" s="33" t="s">
        <v>410</v>
      </c>
      <c r="E165" s="33" t="s">
        <v>136</v>
      </c>
      <c r="F165" s="33" t="s">
        <v>358</v>
      </c>
      <c r="G165" s="103">
        <f>H165+I165+J165</f>
        <v>0</v>
      </c>
      <c r="H165" s="53"/>
      <c r="I165" s="53"/>
      <c r="J165" s="53"/>
      <c r="K165" s="89">
        <f t="shared" ref="K165" si="262">L165+M165+N165</f>
        <v>0</v>
      </c>
      <c r="L165" s="53"/>
      <c r="M165" s="53"/>
      <c r="N165" s="53"/>
      <c r="O165" s="89">
        <f t="shared" ref="O165" si="263">P165+Q165+R165</f>
        <v>1029.0767829480317</v>
      </c>
      <c r="P165" s="92">
        <f>P164</f>
        <v>894.88295158463222</v>
      </c>
      <c r="Q165" s="92">
        <f t="shared" ref="Q165:R165" si="264">Q164</f>
        <v>89.449683784167888</v>
      </c>
      <c r="R165" s="92">
        <f t="shared" si="264"/>
        <v>44.744147579231615</v>
      </c>
      <c r="S165" s="89">
        <f t="shared" ref="S165" si="265">T165+U165+V165</f>
        <v>1029.0767829480317</v>
      </c>
      <c r="T165" s="54">
        <f t="shared" ref="T165" si="266">P165</f>
        <v>894.88295158463222</v>
      </c>
      <c r="U165" s="54">
        <f t="shared" ref="U165" si="267">Q165</f>
        <v>89.449683784167888</v>
      </c>
      <c r="V165" s="54">
        <f t="shared" ref="V165" si="268">R165</f>
        <v>44.744147579231615</v>
      </c>
      <c r="W165" s="93" t="s">
        <v>368</v>
      </c>
      <c r="X165" s="109"/>
      <c r="Y165" s="37">
        <v>88</v>
      </c>
      <c r="Z165" s="55" t="e">
        <f>H165/$G165</f>
        <v>#DIV/0!</v>
      </c>
      <c r="AA165" s="55" t="e">
        <f>I165/$G165</f>
        <v>#DIV/0!</v>
      </c>
      <c r="AB165" s="55" t="e">
        <f>J165/$G165</f>
        <v>#DIV/0!</v>
      </c>
      <c r="AC165" s="56" t="e">
        <f>ROUNDDOWN($Y165*Z165,0)+1</f>
        <v>#DIV/0!</v>
      </c>
      <c r="AD165" s="56" t="e">
        <f t="shared" ref="AD165" si="269">ROUNDDOWN($Y165*AA165,0)</f>
        <v>#DIV/0!</v>
      </c>
      <c r="AE165" s="56" t="e">
        <f>ROUNDDOWN($Y165*AB165,0)+1</f>
        <v>#DIV/0!</v>
      </c>
      <c r="AF165" s="56" t="e">
        <f>Y165-AC165-AD165-AE165</f>
        <v>#DIV/0!</v>
      </c>
      <c r="AK165" s="171"/>
      <c r="AL165" s="171"/>
      <c r="AM165" s="171"/>
      <c r="AN165" s="171"/>
      <c r="AO165" s="171"/>
      <c r="AP165" s="171"/>
      <c r="AQ165" s="171"/>
      <c r="AR165" s="171"/>
      <c r="AS165" s="171"/>
    </row>
    <row r="166" spans="1:45" s="5" customFormat="1" ht="15.75">
      <c r="A166" s="132">
        <v>12</v>
      </c>
      <c r="B166" s="133" t="s">
        <v>36</v>
      </c>
      <c r="C166" s="133"/>
      <c r="D166" s="133"/>
      <c r="E166" s="133"/>
      <c r="F166" s="133"/>
      <c r="G166" s="134">
        <f>SUM(G167:G169)</f>
        <v>11770</v>
      </c>
      <c r="H166" s="134">
        <f t="shared" ref="H166:V166" si="270">SUM(H167:H169)</f>
        <v>10235</v>
      </c>
      <c r="I166" s="134">
        <f t="shared" si="270"/>
        <v>1024</v>
      </c>
      <c r="J166" s="134">
        <f t="shared" si="270"/>
        <v>511</v>
      </c>
      <c r="K166" s="134">
        <f t="shared" si="270"/>
        <v>7753</v>
      </c>
      <c r="L166" s="134">
        <f t="shared" si="270"/>
        <v>6830</v>
      </c>
      <c r="M166" s="134">
        <f t="shared" si="270"/>
        <v>731</v>
      </c>
      <c r="N166" s="134">
        <f t="shared" si="270"/>
        <v>192</v>
      </c>
      <c r="O166" s="134">
        <f t="shared" si="270"/>
        <v>12826.121617378843</v>
      </c>
      <c r="P166" s="134">
        <f t="shared" si="270"/>
        <v>11153.401081292341</v>
      </c>
      <c r="Q166" s="134">
        <f t="shared" si="270"/>
        <v>1115.8004820218864</v>
      </c>
      <c r="R166" s="134">
        <f t="shared" si="270"/>
        <v>556.92005406461703</v>
      </c>
      <c r="S166" s="134">
        <f t="shared" si="270"/>
        <v>1056.1216173788432</v>
      </c>
      <c r="T166" s="134">
        <f t="shared" si="270"/>
        <v>918.40108129233977</v>
      </c>
      <c r="U166" s="134">
        <f t="shared" si="270"/>
        <v>91.800482021886396</v>
      </c>
      <c r="V166" s="134">
        <f t="shared" si="270"/>
        <v>45.920054064616991</v>
      </c>
      <c r="W166" s="125"/>
      <c r="X166" s="126"/>
      <c r="Y166" s="126"/>
      <c r="Z166" s="126"/>
      <c r="AA166" s="105"/>
      <c r="AB166" s="105">
        <f>SUM(J167:J168)-J166</f>
        <v>0</v>
      </c>
      <c r="AC166" s="105">
        <f>SUM(O167:O168)-O166</f>
        <v>-1056.1216173788434</v>
      </c>
      <c r="AD166" s="105">
        <f>SUM(P167:P168)-P166</f>
        <v>-918.40108129234068</v>
      </c>
      <c r="AE166" s="105">
        <f>SUM(Q167:Q168)-Q166</f>
        <v>-91.80048202188641</v>
      </c>
      <c r="AF166" s="105"/>
      <c r="AK166" s="171"/>
      <c r="AL166" s="171"/>
      <c r="AM166" s="171"/>
      <c r="AN166" s="171"/>
      <c r="AO166" s="171"/>
      <c r="AP166" s="171"/>
      <c r="AQ166" s="171"/>
      <c r="AR166" s="171"/>
      <c r="AS166" s="171"/>
    </row>
    <row r="167" spans="1:45" s="50" customFormat="1" ht="114.75">
      <c r="A167" s="31" t="s">
        <v>221</v>
      </c>
      <c r="B167" s="32" t="s">
        <v>140</v>
      </c>
      <c r="C167" s="33" t="s">
        <v>251</v>
      </c>
      <c r="D167" s="33" t="s">
        <v>141</v>
      </c>
      <c r="E167" s="33" t="s">
        <v>142</v>
      </c>
      <c r="F167" s="33" t="s">
        <v>45</v>
      </c>
      <c r="G167" s="103">
        <f t="shared" si="210"/>
        <v>4894</v>
      </c>
      <c r="H167" s="53">
        <v>4256</v>
      </c>
      <c r="I167" s="53">
        <v>426</v>
      </c>
      <c r="J167" s="53">
        <v>212</v>
      </c>
      <c r="K167" s="89">
        <f t="shared" si="102"/>
        <v>4856</v>
      </c>
      <c r="L167" s="53">
        <v>4240</v>
      </c>
      <c r="M167" s="53">
        <v>424</v>
      </c>
      <c r="N167" s="53">
        <v>192</v>
      </c>
      <c r="O167" s="89">
        <f t="shared" si="103"/>
        <v>4894</v>
      </c>
      <c r="P167" s="92">
        <f t="shared" si="104"/>
        <v>4256</v>
      </c>
      <c r="Q167" s="92">
        <f t="shared" si="105"/>
        <v>426</v>
      </c>
      <c r="R167" s="92">
        <f t="shared" si="106"/>
        <v>212</v>
      </c>
      <c r="S167" s="89">
        <f t="shared" si="107"/>
        <v>0</v>
      </c>
      <c r="T167" s="54"/>
      <c r="U167" s="54"/>
      <c r="V167" s="54"/>
      <c r="W167" s="93"/>
      <c r="X167" s="109"/>
      <c r="Y167" s="37">
        <v>123</v>
      </c>
      <c r="Z167" s="55">
        <f>H167/$G167</f>
        <v>0.86963628933387827</v>
      </c>
      <c r="AA167" s="55">
        <f>I167/$G167</f>
        <v>8.7045361667347776E-2</v>
      </c>
      <c r="AB167" s="55">
        <f>J167/$G167</f>
        <v>4.3318348998774008E-2</v>
      </c>
      <c r="AC167" s="56">
        <f>ROUNDDOWN($Y167*Z167,0)+1</f>
        <v>107</v>
      </c>
      <c r="AD167" s="56">
        <f t="shared" ref="AD167" si="271">ROUNDDOWN($Y167*AA167,0)</f>
        <v>10</v>
      </c>
      <c r="AE167" s="56">
        <f>ROUNDDOWN($Y167*AB167,0)+1</f>
        <v>6</v>
      </c>
      <c r="AF167" s="56">
        <f>Y167-AC167-AD167-AE167</f>
        <v>0</v>
      </c>
      <c r="AK167" s="171"/>
      <c r="AL167" s="171"/>
      <c r="AM167" s="171"/>
      <c r="AN167" s="171"/>
      <c r="AO167" s="171"/>
      <c r="AP167" s="171"/>
      <c r="AQ167" s="171"/>
      <c r="AR167" s="171"/>
      <c r="AS167" s="171"/>
    </row>
    <row r="168" spans="1:45" s="50" customFormat="1" ht="38.25">
      <c r="A168" s="31" t="s">
        <v>222</v>
      </c>
      <c r="B168" s="32" t="s">
        <v>252</v>
      </c>
      <c r="C168" s="33" t="s">
        <v>251</v>
      </c>
      <c r="D168" s="33" t="s">
        <v>143</v>
      </c>
      <c r="E168" s="33" t="s">
        <v>142</v>
      </c>
      <c r="F168" s="33" t="s">
        <v>49</v>
      </c>
      <c r="G168" s="103">
        <f t="shared" si="210"/>
        <v>6876</v>
      </c>
      <c r="H168" s="53">
        <v>5979</v>
      </c>
      <c r="I168" s="53">
        <v>598</v>
      </c>
      <c r="J168" s="53">
        <v>299</v>
      </c>
      <c r="K168" s="89">
        <f t="shared" si="102"/>
        <v>2897</v>
      </c>
      <c r="L168" s="53">
        <v>2590</v>
      </c>
      <c r="M168" s="53">
        <v>307</v>
      </c>
      <c r="N168" s="53"/>
      <c r="O168" s="89">
        <f t="shared" si="103"/>
        <v>6876</v>
      </c>
      <c r="P168" s="92">
        <f t="shared" si="104"/>
        <v>5979</v>
      </c>
      <c r="Q168" s="92">
        <f t="shared" si="105"/>
        <v>598</v>
      </c>
      <c r="R168" s="92">
        <f t="shared" si="106"/>
        <v>299</v>
      </c>
      <c r="S168" s="89">
        <f t="shared" si="107"/>
        <v>0</v>
      </c>
      <c r="T168" s="54"/>
      <c r="U168" s="54"/>
      <c r="V168" s="54"/>
      <c r="W168" s="93"/>
      <c r="X168" s="109"/>
      <c r="Y168" s="37"/>
      <c r="Z168" s="55"/>
      <c r="AA168" s="55"/>
      <c r="AB168" s="55"/>
      <c r="AC168" s="56"/>
      <c r="AD168" s="56"/>
      <c r="AE168" s="56"/>
      <c r="AF168" s="56"/>
      <c r="AK168" s="171"/>
      <c r="AL168" s="171"/>
      <c r="AM168" s="171"/>
      <c r="AN168" s="171"/>
      <c r="AO168" s="171"/>
      <c r="AP168" s="171"/>
      <c r="AQ168" s="171"/>
      <c r="AR168" s="171"/>
      <c r="AS168" s="171"/>
    </row>
    <row r="169" spans="1:45" s="183" customFormat="1" ht="15.75">
      <c r="A169" s="180"/>
      <c r="B169" s="179" t="s">
        <v>277</v>
      </c>
      <c r="C169" s="166"/>
      <c r="D169" s="166"/>
      <c r="E169" s="166"/>
      <c r="F169" s="166"/>
      <c r="G169" s="189">
        <f t="shared" ref="G169:N169" si="272">SUM(G170:G170)</f>
        <v>0</v>
      </c>
      <c r="H169" s="189">
        <f t="shared" si="272"/>
        <v>0</v>
      </c>
      <c r="I169" s="189">
        <f t="shared" si="272"/>
        <v>0</v>
      </c>
      <c r="J169" s="189">
        <f t="shared" si="272"/>
        <v>0</v>
      </c>
      <c r="K169" s="189">
        <f t="shared" si="272"/>
        <v>0</v>
      </c>
      <c r="L169" s="189">
        <f t="shared" si="272"/>
        <v>0</v>
      </c>
      <c r="M169" s="189">
        <f t="shared" si="272"/>
        <v>0</v>
      </c>
      <c r="N169" s="189">
        <f t="shared" si="272"/>
        <v>0</v>
      </c>
      <c r="O169" s="189">
        <v>1056.1216173788432</v>
      </c>
      <c r="P169" s="189">
        <v>918.40108129233977</v>
      </c>
      <c r="Q169" s="189">
        <v>91.800482021886396</v>
      </c>
      <c r="R169" s="189">
        <v>45.920054064616991</v>
      </c>
      <c r="S169" s="189">
        <f>SUM(S170:S170)</f>
        <v>1056.1216173788432</v>
      </c>
      <c r="T169" s="189">
        <f>SUM(T170:T170)</f>
        <v>918.40108129233977</v>
      </c>
      <c r="U169" s="189">
        <f>SUM(U170:U170)</f>
        <v>91.800482021886396</v>
      </c>
      <c r="V169" s="189">
        <f>SUM(V170:V170)</f>
        <v>45.920054064616991</v>
      </c>
      <c r="W169" s="178"/>
      <c r="X169" s="177"/>
      <c r="Y169" s="186"/>
      <c r="Z169" s="185"/>
      <c r="AA169" s="185"/>
      <c r="AB169" s="185"/>
      <c r="AC169" s="184"/>
      <c r="AD169" s="184"/>
      <c r="AE169" s="184"/>
      <c r="AF169" s="184"/>
    </row>
    <row r="170" spans="1:45" s="50" customFormat="1" ht="33.75">
      <c r="A170" s="31"/>
      <c r="B170" s="167" t="s">
        <v>411</v>
      </c>
      <c r="C170" s="197" t="s">
        <v>314</v>
      </c>
      <c r="D170" s="197" t="s">
        <v>412</v>
      </c>
      <c r="E170" s="33" t="s">
        <v>142</v>
      </c>
      <c r="F170" s="33" t="s">
        <v>358</v>
      </c>
      <c r="G170" s="103">
        <f>H170+I170+J170</f>
        <v>0</v>
      </c>
      <c r="H170" s="53"/>
      <c r="I170" s="53"/>
      <c r="J170" s="53"/>
      <c r="K170" s="89">
        <f t="shared" ref="K170" si="273">L170+M170+N170</f>
        <v>0</v>
      </c>
      <c r="L170" s="53"/>
      <c r="M170" s="53"/>
      <c r="N170" s="53"/>
      <c r="O170" s="89">
        <f t="shared" ref="O170" si="274">P170+Q170+R170</f>
        <v>1056.1216173788432</v>
      </c>
      <c r="P170" s="92">
        <f>P169</f>
        <v>918.40108129233977</v>
      </c>
      <c r="Q170" s="92">
        <f t="shared" ref="Q170:R170" si="275">Q169</f>
        <v>91.800482021886396</v>
      </c>
      <c r="R170" s="92">
        <f t="shared" si="275"/>
        <v>45.920054064616991</v>
      </c>
      <c r="S170" s="89">
        <f t="shared" ref="S170" si="276">T170+U170+V170</f>
        <v>1056.1216173788432</v>
      </c>
      <c r="T170" s="54">
        <f t="shared" ref="T170" si="277">P170</f>
        <v>918.40108129233977</v>
      </c>
      <c r="U170" s="54">
        <f t="shared" ref="U170" si="278">Q170</f>
        <v>91.800482021886396</v>
      </c>
      <c r="V170" s="54">
        <f t="shared" ref="V170" si="279">R170</f>
        <v>45.920054064616991</v>
      </c>
      <c r="W170" s="93" t="s">
        <v>368</v>
      </c>
      <c r="X170" s="109"/>
      <c r="Y170" s="37">
        <v>88</v>
      </c>
      <c r="Z170" s="55" t="e">
        <f>H170/$G170</f>
        <v>#DIV/0!</v>
      </c>
      <c r="AA170" s="55" t="e">
        <f>I170/$G170</f>
        <v>#DIV/0!</v>
      </c>
      <c r="AB170" s="55" t="e">
        <f>J170/$G170</f>
        <v>#DIV/0!</v>
      </c>
      <c r="AC170" s="56" t="e">
        <f>ROUNDDOWN($Y170*Z170,0)+1</f>
        <v>#DIV/0!</v>
      </c>
      <c r="AD170" s="56" t="e">
        <f t="shared" ref="AD170" si="280">ROUNDDOWN($Y170*AA170,0)</f>
        <v>#DIV/0!</v>
      </c>
      <c r="AE170" s="56" t="e">
        <f>ROUNDDOWN($Y170*AB170,0)+1</f>
        <v>#DIV/0!</v>
      </c>
      <c r="AF170" s="56" t="e">
        <f>Y170-AC170-AD170-AE170</f>
        <v>#DIV/0!</v>
      </c>
      <c r="AK170" s="171"/>
      <c r="AL170" s="171"/>
      <c r="AM170" s="171"/>
      <c r="AN170" s="171"/>
      <c r="AO170" s="171"/>
      <c r="AP170" s="171"/>
      <c r="AQ170" s="171"/>
      <c r="AR170" s="171"/>
      <c r="AS170" s="171"/>
    </row>
    <row r="171" spans="1:45" s="5" customFormat="1" ht="15.75">
      <c r="A171" s="132">
        <v>13</v>
      </c>
      <c r="B171" s="133" t="s">
        <v>37</v>
      </c>
      <c r="C171" s="133"/>
      <c r="D171" s="133"/>
      <c r="E171" s="133"/>
      <c r="F171" s="133"/>
      <c r="G171" s="134">
        <f>G172+G173</f>
        <v>11043</v>
      </c>
      <c r="H171" s="134">
        <f t="shared" ref="H171:V171" si="281">H172+H173</f>
        <v>9605</v>
      </c>
      <c r="I171" s="134">
        <f t="shared" si="281"/>
        <v>960</v>
      </c>
      <c r="J171" s="134">
        <f t="shared" si="281"/>
        <v>478</v>
      </c>
      <c r="K171" s="134">
        <f t="shared" si="281"/>
        <v>10517</v>
      </c>
      <c r="L171" s="134">
        <f t="shared" si="281"/>
        <v>9560</v>
      </c>
      <c r="M171" s="134">
        <f t="shared" si="281"/>
        <v>957</v>
      </c>
      <c r="N171" s="134">
        <f t="shared" si="281"/>
        <v>0</v>
      </c>
      <c r="O171" s="134">
        <f t="shared" si="281"/>
        <v>12088.724128511536</v>
      </c>
      <c r="P171" s="134">
        <f t="shared" si="281"/>
        <v>10514.359447392108</v>
      </c>
      <c r="Q171" s="134">
        <f t="shared" si="281"/>
        <v>1050.8967087498224</v>
      </c>
      <c r="R171" s="134">
        <f t="shared" si="281"/>
        <v>523.46797236960538</v>
      </c>
      <c r="S171" s="134">
        <f t="shared" si="281"/>
        <v>1045.7241285115354</v>
      </c>
      <c r="T171" s="134">
        <f t="shared" si="281"/>
        <v>909.35944739210765</v>
      </c>
      <c r="U171" s="134">
        <f t="shared" si="281"/>
        <v>90.896708749822352</v>
      </c>
      <c r="V171" s="134">
        <f t="shared" si="281"/>
        <v>45.467972369605377</v>
      </c>
      <c r="W171" s="125"/>
      <c r="X171" s="126"/>
      <c r="Y171" s="126"/>
      <c r="Z171" s="126"/>
      <c r="AA171" s="105"/>
      <c r="AB171" s="105">
        <f>SUM(J172)-J171</f>
        <v>0</v>
      </c>
      <c r="AC171" s="105">
        <f>SUM(O172)-O171</f>
        <v>-1045.724128511536</v>
      </c>
      <c r="AD171" s="105">
        <f>SUM(P172)-P171</f>
        <v>-909.35944739210754</v>
      </c>
      <c r="AE171" s="105">
        <f>SUM(Q172)-Q171</f>
        <v>-90.896708749822437</v>
      </c>
      <c r="AF171" s="105"/>
      <c r="AK171" s="171"/>
      <c r="AL171" s="171"/>
      <c r="AM171" s="171"/>
      <c r="AN171" s="171"/>
      <c r="AO171" s="171"/>
      <c r="AP171" s="171"/>
      <c r="AQ171" s="171"/>
      <c r="AR171" s="171"/>
      <c r="AS171" s="171"/>
    </row>
    <row r="172" spans="1:45" s="50" customFormat="1" ht="38.25">
      <c r="A172" s="31" t="s">
        <v>223</v>
      </c>
      <c r="B172" s="32" t="s">
        <v>144</v>
      </c>
      <c r="C172" s="33" t="s">
        <v>251</v>
      </c>
      <c r="D172" s="33" t="s">
        <v>146</v>
      </c>
      <c r="E172" s="33" t="s">
        <v>145</v>
      </c>
      <c r="F172" s="33" t="s">
        <v>62</v>
      </c>
      <c r="G172" s="103">
        <f t="shared" si="210"/>
        <v>11043</v>
      </c>
      <c r="H172" s="53">
        <v>9605</v>
      </c>
      <c r="I172" s="53">
        <v>960</v>
      </c>
      <c r="J172" s="53">
        <v>478</v>
      </c>
      <c r="K172" s="89">
        <f t="shared" ref="K172:K194" si="282">L172+M172+N172</f>
        <v>10517</v>
      </c>
      <c r="L172" s="53">
        <v>9560</v>
      </c>
      <c r="M172" s="53">
        <v>957</v>
      </c>
      <c r="N172" s="53"/>
      <c r="O172" s="89">
        <f t="shared" ref="O172:O194" si="283">P172+Q172+R172</f>
        <v>11043</v>
      </c>
      <c r="P172" s="92">
        <f t="shared" ref="P172:P194" si="284">H172+T172</f>
        <v>9605</v>
      </c>
      <c r="Q172" s="92">
        <f t="shared" ref="Q172:Q194" si="285">I172+U172</f>
        <v>960</v>
      </c>
      <c r="R172" s="92">
        <f t="shared" ref="R172:R182" si="286">J172+V172</f>
        <v>478</v>
      </c>
      <c r="S172" s="89">
        <f t="shared" ref="S172:S194" si="287">T172+U172+V172</f>
        <v>0</v>
      </c>
      <c r="T172" s="54"/>
      <c r="U172" s="54"/>
      <c r="V172" s="54"/>
      <c r="W172" s="93"/>
      <c r="X172" s="109"/>
      <c r="Y172" s="37">
        <v>208</v>
      </c>
      <c r="Z172" s="55">
        <f>H172/$G172</f>
        <v>0.86978176220230008</v>
      </c>
      <c r="AA172" s="55">
        <f>I172/$G172</f>
        <v>8.6932898668839992E-2</v>
      </c>
      <c r="AB172" s="55">
        <f>J172/$G172</f>
        <v>4.3285339128859908E-2</v>
      </c>
      <c r="AC172" s="56">
        <f>ROUNDDOWN($Y172*Z172,0)+1</f>
        <v>181</v>
      </c>
      <c r="AD172" s="56">
        <f t="shared" ref="AD172" si="288">ROUNDDOWN($Y172*AA172,0)</f>
        <v>18</v>
      </c>
      <c r="AE172" s="56">
        <f>ROUNDDOWN($Y172*AB172,0)+1</f>
        <v>10</v>
      </c>
      <c r="AF172" s="56">
        <f>Y172-AC172-AD172-AE172</f>
        <v>-1</v>
      </c>
      <c r="AK172" s="171"/>
      <c r="AL172" s="171"/>
      <c r="AM172" s="171"/>
      <c r="AN172" s="171"/>
      <c r="AO172" s="171"/>
      <c r="AP172" s="171"/>
      <c r="AQ172" s="171"/>
      <c r="AR172" s="171"/>
      <c r="AS172" s="171"/>
    </row>
    <row r="173" spans="1:45" s="183" customFormat="1" ht="15.75">
      <c r="A173" s="180"/>
      <c r="B173" s="179" t="s">
        <v>277</v>
      </c>
      <c r="C173" s="166"/>
      <c r="D173" s="166"/>
      <c r="E173" s="166"/>
      <c r="F173" s="166"/>
      <c r="G173" s="189">
        <f t="shared" ref="G173:N173" si="289">SUM(G174:G174)</f>
        <v>0</v>
      </c>
      <c r="H173" s="189">
        <f t="shared" si="289"/>
        <v>0</v>
      </c>
      <c r="I173" s="189">
        <f t="shared" si="289"/>
        <v>0</v>
      </c>
      <c r="J173" s="189">
        <f t="shared" si="289"/>
        <v>0</v>
      </c>
      <c r="K173" s="189">
        <f t="shared" si="289"/>
        <v>0</v>
      </c>
      <c r="L173" s="189">
        <f t="shared" si="289"/>
        <v>0</v>
      </c>
      <c r="M173" s="189">
        <f t="shared" si="289"/>
        <v>0</v>
      </c>
      <c r="N173" s="189">
        <f t="shared" si="289"/>
        <v>0</v>
      </c>
      <c r="O173" s="189">
        <v>1045.7241285115354</v>
      </c>
      <c r="P173" s="189">
        <v>909.35944739210765</v>
      </c>
      <c r="Q173" s="189">
        <v>90.896708749822352</v>
      </c>
      <c r="R173" s="189">
        <v>45.467972369605377</v>
      </c>
      <c r="S173" s="189">
        <f>SUM(S174:S174)</f>
        <v>1045.7241285115354</v>
      </c>
      <c r="T173" s="189">
        <f>SUM(T174:T174)</f>
        <v>909.35944739210765</v>
      </c>
      <c r="U173" s="189">
        <f>SUM(U174:U174)</f>
        <v>90.896708749822352</v>
      </c>
      <c r="V173" s="189">
        <f>SUM(V174:V174)</f>
        <v>45.467972369605377</v>
      </c>
      <c r="W173" s="178"/>
      <c r="X173" s="177"/>
      <c r="Y173" s="186"/>
      <c r="Z173" s="185"/>
      <c r="AA173" s="185"/>
      <c r="AB173" s="185"/>
      <c r="AC173" s="184"/>
      <c r="AD173" s="184"/>
      <c r="AE173" s="184"/>
      <c r="AF173" s="184"/>
    </row>
    <row r="174" spans="1:45" s="50" customFormat="1" ht="38.25">
      <c r="A174" s="31"/>
      <c r="B174" s="32" t="s">
        <v>413</v>
      </c>
      <c r="C174" s="33" t="s">
        <v>309</v>
      </c>
      <c r="D174" s="33" t="s">
        <v>414</v>
      </c>
      <c r="E174" s="33" t="s">
        <v>145</v>
      </c>
      <c r="F174" s="33" t="s">
        <v>358</v>
      </c>
      <c r="G174" s="103">
        <f>H174+I174+J174</f>
        <v>0</v>
      </c>
      <c r="H174" s="53"/>
      <c r="I174" s="53"/>
      <c r="J174" s="53"/>
      <c r="K174" s="89">
        <f t="shared" ref="K174" si="290">L174+M174+N174</f>
        <v>0</v>
      </c>
      <c r="L174" s="53"/>
      <c r="M174" s="53"/>
      <c r="N174" s="53"/>
      <c r="O174" s="89">
        <f t="shared" ref="O174" si="291">P174+Q174+R174</f>
        <v>1045.7241285115354</v>
      </c>
      <c r="P174" s="92">
        <f>P173</f>
        <v>909.35944739210765</v>
      </c>
      <c r="Q174" s="92">
        <f t="shared" ref="Q174:R174" si="292">Q173</f>
        <v>90.896708749822352</v>
      </c>
      <c r="R174" s="92">
        <f t="shared" si="292"/>
        <v>45.467972369605377</v>
      </c>
      <c r="S174" s="89">
        <f t="shared" ref="S174" si="293">T174+U174+V174</f>
        <v>1045.7241285115354</v>
      </c>
      <c r="T174" s="54">
        <f t="shared" ref="T174" si="294">P174</f>
        <v>909.35944739210765</v>
      </c>
      <c r="U174" s="54">
        <f t="shared" ref="U174" si="295">Q174</f>
        <v>90.896708749822352</v>
      </c>
      <c r="V174" s="54">
        <f t="shared" ref="V174" si="296">R174</f>
        <v>45.467972369605377</v>
      </c>
      <c r="W174" s="93" t="s">
        <v>368</v>
      </c>
      <c r="X174" s="109"/>
      <c r="Y174" s="37">
        <v>88</v>
      </c>
      <c r="Z174" s="55" t="e">
        <f>H174/$G174</f>
        <v>#DIV/0!</v>
      </c>
      <c r="AA174" s="55" t="e">
        <f>I174/$G174</f>
        <v>#DIV/0!</v>
      </c>
      <c r="AB174" s="55" t="e">
        <f>J174/$G174</f>
        <v>#DIV/0!</v>
      </c>
      <c r="AC174" s="56" t="e">
        <f>ROUNDDOWN($Y174*Z174,0)+1</f>
        <v>#DIV/0!</v>
      </c>
      <c r="AD174" s="56" t="e">
        <f t="shared" ref="AD174" si="297">ROUNDDOWN($Y174*AA174,0)</f>
        <v>#DIV/0!</v>
      </c>
      <c r="AE174" s="56" t="e">
        <f>ROUNDDOWN($Y174*AB174,0)+1</f>
        <v>#DIV/0!</v>
      </c>
      <c r="AF174" s="56" t="e">
        <f>Y174-AC174-AD174-AE174</f>
        <v>#DIV/0!</v>
      </c>
      <c r="AK174" s="171"/>
      <c r="AL174" s="171"/>
      <c r="AM174" s="171"/>
      <c r="AN174" s="171"/>
      <c r="AO174" s="171"/>
      <c r="AP174" s="171"/>
      <c r="AQ174" s="171"/>
      <c r="AR174" s="171"/>
      <c r="AS174" s="171"/>
    </row>
    <row r="175" spans="1:45" s="14" customFormat="1" ht="15.75">
      <c r="A175" s="128" t="s">
        <v>8</v>
      </c>
      <c r="B175" s="129" t="s">
        <v>147</v>
      </c>
      <c r="C175" s="129"/>
      <c r="D175" s="129"/>
      <c r="E175" s="129"/>
      <c r="F175" s="129"/>
      <c r="G175" s="176">
        <f t="shared" ref="G175:H175" si="298">G176</f>
        <v>1546</v>
      </c>
      <c r="H175" s="176">
        <f t="shared" si="298"/>
        <v>1345</v>
      </c>
      <c r="I175" s="176">
        <f t="shared" ref="I175" si="299">I176</f>
        <v>134</v>
      </c>
      <c r="J175" s="176">
        <f t="shared" ref="J175" si="300">J176</f>
        <v>67</v>
      </c>
      <c r="K175" s="176">
        <f t="shared" ref="K175" si="301">K176</f>
        <v>417</v>
      </c>
      <c r="L175" s="176">
        <f t="shared" ref="L175:M175" si="302">L176</f>
        <v>325</v>
      </c>
      <c r="M175" s="176">
        <f t="shared" si="302"/>
        <v>33</v>
      </c>
      <c r="N175" s="176">
        <f t="shared" ref="N175" si="303">N176</f>
        <v>59</v>
      </c>
      <c r="O175" s="176">
        <f t="shared" ref="O175" si="304">O176</f>
        <v>1688.0421976408168</v>
      </c>
      <c r="P175" s="176">
        <f t="shared" ref="P175" si="305">P176</f>
        <v>1468.5195888009853</v>
      </c>
      <c r="Q175" s="176">
        <f t="shared" ref="Q175" si="306">Q176</f>
        <v>146.34662939978207</v>
      </c>
      <c r="R175" s="176">
        <f>R176</f>
        <v>73.175979440049275</v>
      </c>
      <c r="S175" s="176">
        <f t="shared" ref="S175:V175" si="307">S176</f>
        <v>142.04219764081671</v>
      </c>
      <c r="T175" s="176">
        <f t="shared" si="307"/>
        <v>123.51958880098536</v>
      </c>
      <c r="U175" s="176">
        <f t="shared" si="307"/>
        <v>12.346629399782083</v>
      </c>
      <c r="V175" s="176">
        <f t="shared" si="307"/>
        <v>6.1759794400492689</v>
      </c>
      <c r="W175" s="140"/>
      <c r="X175" s="141"/>
      <c r="Y175" s="142">
        <f>SUM(Y64:Y172)</f>
        <v>3837.6983299416897</v>
      </c>
      <c r="Z175" s="137"/>
      <c r="AA175" s="137"/>
      <c r="AB175" s="137"/>
      <c r="AC175" s="137"/>
      <c r="AD175" s="137"/>
      <c r="AE175" s="137"/>
      <c r="AF175" s="137"/>
      <c r="AK175" s="171"/>
      <c r="AL175" s="171"/>
      <c r="AM175" s="171"/>
      <c r="AN175" s="171"/>
      <c r="AO175" s="171"/>
      <c r="AP175" s="171"/>
      <c r="AQ175" s="171"/>
      <c r="AR175" s="171"/>
      <c r="AS175" s="171"/>
    </row>
    <row r="176" spans="1:45" s="5" customFormat="1" ht="15.75">
      <c r="A176" s="132">
        <v>1</v>
      </c>
      <c r="B176" s="133" t="s">
        <v>38</v>
      </c>
      <c r="C176" s="133"/>
      <c r="D176" s="133"/>
      <c r="E176" s="133"/>
      <c r="F176" s="133"/>
      <c r="G176" s="134">
        <f>G177+G178+G179</f>
        <v>1546</v>
      </c>
      <c r="H176" s="134">
        <f t="shared" ref="H176:V176" si="308">H177+H178+H179</f>
        <v>1345</v>
      </c>
      <c r="I176" s="134">
        <f t="shared" si="308"/>
        <v>134</v>
      </c>
      <c r="J176" s="134">
        <f t="shared" si="308"/>
        <v>67</v>
      </c>
      <c r="K176" s="134">
        <f t="shared" si="308"/>
        <v>417</v>
      </c>
      <c r="L176" s="134">
        <f t="shared" si="308"/>
        <v>325</v>
      </c>
      <c r="M176" s="134">
        <f t="shared" si="308"/>
        <v>33</v>
      </c>
      <c r="N176" s="134">
        <f t="shared" si="308"/>
        <v>59</v>
      </c>
      <c r="O176" s="134">
        <f t="shared" si="308"/>
        <v>1688.0421976408168</v>
      </c>
      <c r="P176" s="134">
        <f t="shared" si="308"/>
        <v>1468.5195888009853</v>
      </c>
      <c r="Q176" s="134">
        <f t="shared" si="308"/>
        <v>146.34662939978207</v>
      </c>
      <c r="R176" s="134">
        <f>R177+R178+R179</f>
        <v>73.175979440049275</v>
      </c>
      <c r="S176" s="134">
        <f t="shared" si="308"/>
        <v>142.04219764081671</v>
      </c>
      <c r="T176" s="134">
        <f t="shared" si="308"/>
        <v>123.51958880098536</v>
      </c>
      <c r="U176" s="134">
        <f t="shared" si="308"/>
        <v>12.346629399782083</v>
      </c>
      <c r="V176" s="134">
        <f t="shared" si="308"/>
        <v>6.1759794400492689</v>
      </c>
      <c r="W176" s="125"/>
      <c r="X176" s="126"/>
      <c r="Y176" s="126"/>
      <c r="Z176" s="126"/>
      <c r="AA176" s="105"/>
      <c r="AB176" s="105">
        <f>SUM(J177:J178)-J176</f>
        <v>0</v>
      </c>
      <c r="AC176" s="105">
        <f>SUM(O177:O178)-O176</f>
        <v>-142.04219764081677</v>
      </c>
      <c r="AD176" s="105">
        <f>SUM(P177:P178)-P176</f>
        <v>-123.51958880098528</v>
      </c>
      <c r="AE176" s="105">
        <f>SUM(Q177:Q178)-Q176</f>
        <v>-12.346629399782074</v>
      </c>
      <c r="AF176" s="105"/>
      <c r="AK176" s="171"/>
      <c r="AL176" s="171"/>
      <c r="AM176" s="171"/>
      <c r="AN176" s="171"/>
      <c r="AO176" s="171"/>
      <c r="AP176" s="171"/>
      <c r="AQ176" s="171"/>
      <c r="AR176" s="171"/>
      <c r="AS176" s="171"/>
    </row>
    <row r="177" spans="1:45" s="50" customFormat="1" ht="38.25">
      <c r="A177" s="31" t="s">
        <v>179</v>
      </c>
      <c r="B177" s="32" t="s">
        <v>148</v>
      </c>
      <c r="C177" s="33" t="s">
        <v>150</v>
      </c>
      <c r="D177" s="33" t="s">
        <v>67</v>
      </c>
      <c r="E177" s="33" t="s">
        <v>149</v>
      </c>
      <c r="F177" s="33" t="s">
        <v>45</v>
      </c>
      <c r="G177" s="103">
        <f>SUM(H177:J177)</f>
        <v>1092.5</v>
      </c>
      <c r="H177" s="53">
        <v>950</v>
      </c>
      <c r="I177" s="53">
        <v>95</v>
      </c>
      <c r="J177" s="53">
        <v>47.5</v>
      </c>
      <c r="K177" s="89">
        <f t="shared" si="282"/>
        <v>45</v>
      </c>
      <c r="L177" s="53"/>
      <c r="M177" s="53"/>
      <c r="N177" s="53">
        <v>45</v>
      </c>
      <c r="O177" s="89">
        <f t="shared" si="283"/>
        <v>1092.5</v>
      </c>
      <c r="P177" s="92">
        <f t="shared" si="284"/>
        <v>950</v>
      </c>
      <c r="Q177" s="92">
        <f t="shared" si="285"/>
        <v>95</v>
      </c>
      <c r="R177" s="92">
        <f t="shared" si="286"/>
        <v>47.5</v>
      </c>
      <c r="S177" s="89">
        <f t="shared" si="287"/>
        <v>0</v>
      </c>
      <c r="T177" s="54"/>
      <c r="U177" s="54"/>
      <c r="V177" s="54"/>
      <c r="W177" s="93"/>
      <c r="X177" s="109"/>
      <c r="Y177" s="37"/>
      <c r="Z177" s="55"/>
      <c r="AA177" s="55"/>
      <c r="AB177" s="55"/>
      <c r="AC177" s="56"/>
      <c r="AD177" s="56"/>
      <c r="AE177" s="56"/>
      <c r="AF177" s="56"/>
      <c r="AK177" s="171"/>
      <c r="AL177" s="171"/>
      <c r="AM177" s="171"/>
      <c r="AN177" s="171"/>
      <c r="AO177" s="171"/>
      <c r="AP177" s="171"/>
      <c r="AQ177" s="171"/>
      <c r="AR177" s="171"/>
      <c r="AS177" s="171"/>
    </row>
    <row r="178" spans="1:45" s="50" customFormat="1" ht="38.25">
      <c r="A178" s="31" t="s">
        <v>180</v>
      </c>
      <c r="B178" s="32" t="s">
        <v>254</v>
      </c>
      <c r="C178" s="33" t="s">
        <v>150</v>
      </c>
      <c r="D178" s="135" t="s">
        <v>273</v>
      </c>
      <c r="E178" s="33" t="s">
        <v>149</v>
      </c>
      <c r="F178" s="33" t="s">
        <v>48</v>
      </c>
      <c r="G178" s="103">
        <f>SUM(H178:J178)</f>
        <v>453.5</v>
      </c>
      <c r="H178" s="53">
        <v>395</v>
      </c>
      <c r="I178" s="53">
        <v>39</v>
      </c>
      <c r="J178" s="53">
        <v>19.5</v>
      </c>
      <c r="K178" s="89">
        <f t="shared" si="282"/>
        <v>372</v>
      </c>
      <c r="L178" s="53">
        <v>325</v>
      </c>
      <c r="M178" s="53">
        <v>33</v>
      </c>
      <c r="N178" s="53">
        <v>14</v>
      </c>
      <c r="O178" s="89">
        <f t="shared" si="283"/>
        <v>453.5</v>
      </c>
      <c r="P178" s="92">
        <f t="shared" si="284"/>
        <v>395</v>
      </c>
      <c r="Q178" s="92">
        <f t="shared" si="285"/>
        <v>39</v>
      </c>
      <c r="R178" s="92">
        <f t="shared" si="286"/>
        <v>19.5</v>
      </c>
      <c r="S178" s="89">
        <f t="shared" si="287"/>
        <v>0</v>
      </c>
      <c r="T178" s="54"/>
      <c r="U178" s="54"/>
      <c r="V178" s="54"/>
      <c r="W178" s="93"/>
      <c r="X178" s="109"/>
      <c r="Y178" s="37"/>
      <c r="Z178" s="55"/>
      <c r="AA178" s="55"/>
      <c r="AB178" s="55"/>
      <c r="AC178" s="56"/>
      <c r="AD178" s="56"/>
      <c r="AE178" s="56"/>
      <c r="AF178" s="56"/>
      <c r="AK178" s="171"/>
      <c r="AL178" s="171"/>
      <c r="AM178" s="171"/>
      <c r="AN178" s="171"/>
      <c r="AO178" s="171"/>
      <c r="AP178" s="171"/>
      <c r="AQ178" s="171"/>
      <c r="AR178" s="171"/>
      <c r="AS178" s="171"/>
    </row>
    <row r="179" spans="1:45" s="183" customFormat="1" ht="15.75">
      <c r="A179" s="180"/>
      <c r="B179" s="179" t="s">
        <v>277</v>
      </c>
      <c r="C179" s="166"/>
      <c r="D179" s="166"/>
      <c r="E179" s="166"/>
      <c r="F179" s="166"/>
      <c r="G179" s="189">
        <f t="shared" ref="G179:N179" si="309">SUM(G180:G180)</f>
        <v>0</v>
      </c>
      <c r="H179" s="189">
        <f t="shared" si="309"/>
        <v>0</v>
      </c>
      <c r="I179" s="189">
        <f t="shared" si="309"/>
        <v>0</v>
      </c>
      <c r="J179" s="189">
        <f t="shared" si="309"/>
        <v>0</v>
      </c>
      <c r="K179" s="189">
        <f t="shared" si="309"/>
        <v>0</v>
      </c>
      <c r="L179" s="189">
        <f t="shared" si="309"/>
        <v>0</v>
      </c>
      <c r="M179" s="189">
        <f t="shared" si="309"/>
        <v>0</v>
      </c>
      <c r="N179" s="189">
        <f t="shared" si="309"/>
        <v>0</v>
      </c>
      <c r="O179" s="189">
        <v>142.04219764081671</v>
      </c>
      <c r="P179" s="189">
        <v>123.51958880098536</v>
      </c>
      <c r="Q179" s="189">
        <v>12.346629399782083</v>
      </c>
      <c r="R179" s="189">
        <v>6.1759794400492689</v>
      </c>
      <c r="S179" s="189">
        <f>SUM(S180:S180)</f>
        <v>142.04219764081671</v>
      </c>
      <c r="T179" s="189">
        <f>SUM(T180:T180)</f>
        <v>123.51958880098536</v>
      </c>
      <c r="U179" s="189">
        <f>SUM(U180:U180)</f>
        <v>12.346629399782083</v>
      </c>
      <c r="V179" s="189">
        <f>SUM(V180:V180)</f>
        <v>6.1759794400492689</v>
      </c>
      <c r="W179" s="178"/>
      <c r="X179" s="177"/>
      <c r="Y179" s="186"/>
      <c r="Z179" s="185"/>
      <c r="AA179" s="185"/>
      <c r="AB179" s="185"/>
      <c r="AC179" s="184"/>
      <c r="AD179" s="184"/>
      <c r="AE179" s="184"/>
      <c r="AF179" s="184"/>
    </row>
    <row r="180" spans="1:45" s="50" customFormat="1" ht="38.25">
      <c r="A180" s="31"/>
      <c r="B180" s="32" t="s">
        <v>415</v>
      </c>
      <c r="C180" s="33" t="s">
        <v>416</v>
      </c>
      <c r="D180" s="33" t="s">
        <v>417</v>
      </c>
      <c r="E180" s="33" t="s">
        <v>149</v>
      </c>
      <c r="F180" s="33" t="s">
        <v>358</v>
      </c>
      <c r="G180" s="103">
        <f>H180+I180+J180</f>
        <v>0</v>
      </c>
      <c r="H180" s="53"/>
      <c r="I180" s="53"/>
      <c r="J180" s="53"/>
      <c r="K180" s="89">
        <f t="shared" ref="K180" si="310">L180+M180+N180</f>
        <v>0</v>
      </c>
      <c r="L180" s="53"/>
      <c r="M180" s="53"/>
      <c r="N180" s="53"/>
      <c r="O180" s="89">
        <f t="shared" ref="O180" si="311">P180+Q180+R180</f>
        <v>142.04219764081671</v>
      </c>
      <c r="P180" s="92">
        <f>P179</f>
        <v>123.51958880098536</v>
      </c>
      <c r="Q180" s="92">
        <f t="shared" ref="Q180:R180" si="312">Q179</f>
        <v>12.346629399782083</v>
      </c>
      <c r="R180" s="92">
        <f t="shared" si="312"/>
        <v>6.1759794400492689</v>
      </c>
      <c r="S180" s="89">
        <f t="shared" ref="S180" si="313">T180+U180+V180</f>
        <v>142.04219764081671</v>
      </c>
      <c r="T180" s="54">
        <f t="shared" ref="T180" si="314">P180</f>
        <v>123.51958880098536</v>
      </c>
      <c r="U180" s="54">
        <f t="shared" ref="U180" si="315">Q180</f>
        <v>12.346629399782083</v>
      </c>
      <c r="V180" s="54">
        <f t="shared" ref="V180" si="316">R180</f>
        <v>6.1759794400492689</v>
      </c>
      <c r="W180" s="93" t="s">
        <v>368</v>
      </c>
      <c r="X180" s="109"/>
      <c r="Y180" s="37">
        <v>88</v>
      </c>
      <c r="Z180" s="55" t="e">
        <f>H180/$G180</f>
        <v>#DIV/0!</v>
      </c>
      <c r="AA180" s="55" t="e">
        <f>I180/$G180</f>
        <v>#DIV/0!</v>
      </c>
      <c r="AB180" s="55" t="e">
        <f>J180/$G180</f>
        <v>#DIV/0!</v>
      </c>
      <c r="AC180" s="56" t="e">
        <f>ROUNDDOWN($Y180*Z180,0)+1</f>
        <v>#DIV/0!</v>
      </c>
      <c r="AD180" s="56" t="e">
        <f t="shared" ref="AD180" si="317">ROUNDDOWN($Y180*AA180,0)</f>
        <v>#DIV/0!</v>
      </c>
      <c r="AE180" s="56" t="e">
        <f>ROUNDDOWN($Y180*AB180,0)+1</f>
        <v>#DIV/0!</v>
      </c>
      <c r="AF180" s="56" t="e">
        <f>Y180-AC180-AD180-AE180</f>
        <v>#DIV/0!</v>
      </c>
      <c r="AK180" s="171"/>
      <c r="AL180" s="171"/>
      <c r="AM180" s="171"/>
      <c r="AN180" s="171"/>
      <c r="AO180" s="171"/>
      <c r="AP180" s="171"/>
      <c r="AQ180" s="171"/>
      <c r="AR180" s="171"/>
      <c r="AS180" s="171"/>
    </row>
    <row r="181" spans="1:45" s="57" customFormat="1" ht="15.75">
      <c r="A181" s="143"/>
      <c r="B181" s="207" t="s">
        <v>296</v>
      </c>
      <c r="C181" s="208"/>
      <c r="D181" s="209"/>
      <c r="E181" s="144"/>
      <c r="F181" s="144"/>
      <c r="G181" s="145">
        <f>G182</f>
        <v>3700</v>
      </c>
      <c r="H181" s="145">
        <f t="shared" ref="H181:S181" si="318">H182</f>
        <v>3221</v>
      </c>
      <c r="I181" s="145">
        <f t="shared" si="318"/>
        <v>314</v>
      </c>
      <c r="J181" s="145">
        <f t="shared" si="318"/>
        <v>165</v>
      </c>
      <c r="K181" s="145">
        <f t="shared" si="318"/>
        <v>3062</v>
      </c>
      <c r="L181" s="145">
        <f t="shared" si="318"/>
        <v>2783</v>
      </c>
      <c r="M181" s="145">
        <f t="shared" si="318"/>
        <v>279</v>
      </c>
      <c r="N181" s="145">
        <f t="shared" si="318"/>
        <v>0</v>
      </c>
      <c r="O181" s="145">
        <f t="shared" si="318"/>
        <v>3700</v>
      </c>
      <c r="P181" s="145">
        <f t="shared" si="318"/>
        <v>3221</v>
      </c>
      <c r="Q181" s="145">
        <f t="shared" si="318"/>
        <v>314</v>
      </c>
      <c r="R181" s="145">
        <f t="shared" si="318"/>
        <v>165</v>
      </c>
      <c r="S181" s="145">
        <f t="shared" si="318"/>
        <v>0</v>
      </c>
      <c r="T181" s="146"/>
      <c r="U181" s="146"/>
      <c r="V181" s="146"/>
      <c r="W181" s="125"/>
      <c r="X181" s="126"/>
      <c r="Y181" s="147"/>
      <c r="Z181" s="147"/>
      <c r="AA181" s="147"/>
      <c r="AB181" s="147"/>
      <c r="AC181" s="147"/>
      <c r="AD181" s="147"/>
      <c r="AE181" s="147"/>
      <c r="AF181" s="147"/>
      <c r="AK181" s="183"/>
      <c r="AL181" s="183"/>
      <c r="AM181" s="183"/>
      <c r="AN181" s="183"/>
      <c r="AO181" s="183"/>
      <c r="AP181" s="183"/>
      <c r="AQ181" s="183"/>
      <c r="AR181" s="183"/>
      <c r="AS181" s="183"/>
    </row>
    <row r="182" spans="1:45" s="50" customFormat="1" ht="76.5">
      <c r="A182" s="31"/>
      <c r="B182" s="32" t="s">
        <v>274</v>
      </c>
      <c r="C182" s="33" t="s">
        <v>251</v>
      </c>
      <c r="D182" s="33" t="s">
        <v>294</v>
      </c>
      <c r="E182" s="33" t="s">
        <v>92</v>
      </c>
      <c r="F182" s="33" t="s">
        <v>48</v>
      </c>
      <c r="G182" s="103">
        <f>SUM(H182:J182)</f>
        <v>3700</v>
      </c>
      <c r="H182" s="53">
        <v>3221</v>
      </c>
      <c r="I182" s="53">
        <v>314</v>
      </c>
      <c r="J182" s="53">
        <v>165</v>
      </c>
      <c r="K182" s="89">
        <f t="shared" si="282"/>
        <v>3062</v>
      </c>
      <c r="L182" s="53">
        <v>2783</v>
      </c>
      <c r="M182" s="53">
        <v>279</v>
      </c>
      <c r="N182" s="53"/>
      <c r="O182" s="89">
        <f t="shared" si="283"/>
        <v>3700</v>
      </c>
      <c r="P182" s="92">
        <f t="shared" si="284"/>
        <v>3221</v>
      </c>
      <c r="Q182" s="92">
        <f t="shared" si="285"/>
        <v>314</v>
      </c>
      <c r="R182" s="92">
        <f t="shared" si="286"/>
        <v>165</v>
      </c>
      <c r="S182" s="89">
        <f t="shared" si="287"/>
        <v>0</v>
      </c>
      <c r="T182" s="54"/>
      <c r="U182" s="54"/>
      <c r="V182" s="54"/>
      <c r="W182" s="93"/>
      <c r="X182" s="109"/>
      <c r="Y182" s="37"/>
      <c r="Z182" s="55"/>
      <c r="AA182" s="55"/>
      <c r="AB182" s="55"/>
      <c r="AC182" s="56"/>
      <c r="AD182" s="56"/>
      <c r="AE182" s="56"/>
      <c r="AF182" s="56"/>
      <c r="AK182" s="171"/>
      <c r="AL182" s="171"/>
      <c r="AM182" s="171"/>
      <c r="AN182" s="171"/>
      <c r="AO182" s="171"/>
      <c r="AP182" s="171"/>
      <c r="AQ182" s="171"/>
      <c r="AR182" s="171"/>
      <c r="AS182" s="171"/>
    </row>
    <row r="183" spans="1:45" s="14" customFormat="1" ht="39.6" customHeight="1">
      <c r="A183" s="229" t="s">
        <v>162</v>
      </c>
      <c r="B183" s="229"/>
      <c r="C183" s="229"/>
      <c r="D183" s="229"/>
      <c r="E183" s="229"/>
      <c r="F183" s="229"/>
      <c r="G183" s="148">
        <f>G184</f>
        <v>20868.5</v>
      </c>
      <c r="H183" s="148">
        <f t="shared" ref="H183:V183" si="319">H184</f>
        <v>18146</v>
      </c>
      <c r="I183" s="148">
        <f t="shared" si="319"/>
        <v>1815</v>
      </c>
      <c r="J183" s="148">
        <f t="shared" si="319"/>
        <v>907.5</v>
      </c>
      <c r="K183" s="148">
        <f t="shared" si="319"/>
        <v>14549.76</v>
      </c>
      <c r="L183" s="148">
        <f t="shared" si="319"/>
        <v>12467</v>
      </c>
      <c r="M183" s="148">
        <f t="shared" si="319"/>
        <v>1573</v>
      </c>
      <c r="N183" s="148">
        <f t="shared" si="319"/>
        <v>509.76</v>
      </c>
      <c r="O183" s="148">
        <f t="shared" si="319"/>
        <v>18240.006999999998</v>
      </c>
      <c r="P183" s="148">
        <f t="shared" si="319"/>
        <v>15842.235964794814</v>
      </c>
      <c r="Q183" s="148">
        <f t="shared" si="319"/>
        <v>1583.5140234701234</v>
      </c>
      <c r="R183" s="148">
        <f t="shared" si="319"/>
        <v>814.2570117350615</v>
      </c>
      <c r="S183" s="148">
        <f t="shared" si="319"/>
        <v>-2628.4929999999999</v>
      </c>
      <c r="T183" s="148">
        <f t="shared" si="319"/>
        <v>-2303.7640352051849</v>
      </c>
      <c r="U183" s="148">
        <f t="shared" si="319"/>
        <v>-231.48597652987667</v>
      </c>
      <c r="V183" s="148">
        <f t="shared" si="319"/>
        <v>-93.242988264938447</v>
      </c>
      <c r="W183" s="149"/>
      <c r="X183" s="150"/>
      <c r="Y183" s="137"/>
      <c r="Z183" s="137"/>
      <c r="AA183" s="137"/>
      <c r="AB183" s="137"/>
      <c r="AC183" s="137"/>
      <c r="AD183" s="137"/>
      <c r="AE183" s="137"/>
      <c r="AF183" s="137"/>
      <c r="AK183" s="171"/>
      <c r="AL183" s="171"/>
      <c r="AM183" s="171"/>
      <c r="AN183" s="171"/>
      <c r="AO183" s="171"/>
      <c r="AP183" s="171"/>
      <c r="AQ183" s="171"/>
      <c r="AR183" s="171">
        <f>T183*5%</f>
        <v>-115.18820176025925</v>
      </c>
      <c r="AS183" s="171"/>
    </row>
    <row r="184" spans="1:45" s="9" customFormat="1" ht="30.95" customHeight="1">
      <c r="A184" s="215" t="s">
        <v>7</v>
      </c>
      <c r="B184" s="215"/>
      <c r="C184" s="215"/>
      <c r="D184" s="215"/>
      <c r="E184" s="215"/>
      <c r="F184" s="215"/>
      <c r="G184" s="104">
        <f>SUM(G185:G188)</f>
        <v>20868.5</v>
      </c>
      <c r="H184" s="104">
        <f t="shared" ref="H184:V184" si="320">SUM(H185:H188)</f>
        <v>18146</v>
      </c>
      <c r="I184" s="104">
        <f t="shared" si="320"/>
        <v>1815</v>
      </c>
      <c r="J184" s="104">
        <f t="shared" si="320"/>
        <v>907.5</v>
      </c>
      <c r="K184" s="104">
        <f t="shared" si="320"/>
        <v>14549.76</v>
      </c>
      <c r="L184" s="104">
        <f t="shared" si="320"/>
        <v>12467</v>
      </c>
      <c r="M184" s="104">
        <f t="shared" si="320"/>
        <v>1573</v>
      </c>
      <c r="N184" s="104">
        <f t="shared" si="320"/>
        <v>509.76</v>
      </c>
      <c r="O184" s="104">
        <f t="shared" si="320"/>
        <v>18240.006999999998</v>
      </c>
      <c r="P184" s="104">
        <f t="shared" si="320"/>
        <v>15842.235964794814</v>
      </c>
      <c r="Q184" s="104">
        <f t="shared" si="320"/>
        <v>1583.5140234701234</v>
      </c>
      <c r="R184" s="104">
        <f t="shared" si="320"/>
        <v>814.2570117350615</v>
      </c>
      <c r="S184" s="104">
        <f t="shared" si="320"/>
        <v>-2628.4929999999999</v>
      </c>
      <c r="T184" s="104">
        <f t="shared" si="320"/>
        <v>-2303.7640352051849</v>
      </c>
      <c r="U184" s="104">
        <f>SUM(U185:U188)</f>
        <v>-231.48597652987667</v>
      </c>
      <c r="V184" s="104">
        <f t="shared" si="320"/>
        <v>-93.242988264938447</v>
      </c>
      <c r="W184" s="151"/>
      <c r="X184" s="152"/>
      <c r="Y184" s="127"/>
      <c r="Z184" s="127"/>
      <c r="AA184" s="127"/>
      <c r="AB184" s="127"/>
      <c r="AC184" s="35"/>
      <c r="AD184" s="35">
        <v>18146</v>
      </c>
      <c r="AE184" s="35">
        <v>1815</v>
      </c>
      <c r="AF184" s="127"/>
      <c r="AK184" s="168"/>
      <c r="AL184" s="168"/>
      <c r="AM184" s="168"/>
      <c r="AN184" s="168"/>
      <c r="AO184" s="168"/>
      <c r="AP184" s="168"/>
      <c r="AQ184" s="168"/>
      <c r="AR184" s="168">
        <f>H184*5%</f>
        <v>907.30000000000007</v>
      </c>
      <c r="AS184" s="168"/>
    </row>
    <row r="185" spans="1:45" s="50" customFormat="1" ht="76.5">
      <c r="A185" s="31">
        <v>1</v>
      </c>
      <c r="B185" s="32" t="s">
        <v>163</v>
      </c>
      <c r="C185" s="33" t="s">
        <v>251</v>
      </c>
      <c r="D185" s="33" t="s">
        <v>167</v>
      </c>
      <c r="E185" s="33" t="s">
        <v>15</v>
      </c>
      <c r="F185" s="33" t="s">
        <v>45</v>
      </c>
      <c r="G185" s="103">
        <f>SUM(H185:J185)</f>
        <v>6087</v>
      </c>
      <c r="H185" s="53">
        <v>5292</v>
      </c>
      <c r="I185" s="53">
        <v>530</v>
      </c>
      <c r="J185" s="53">
        <v>265</v>
      </c>
      <c r="K185" s="89">
        <f t="shared" si="282"/>
        <v>5999.8</v>
      </c>
      <c r="L185" s="53">
        <v>5240</v>
      </c>
      <c r="M185" s="53">
        <v>524</v>
      </c>
      <c r="N185" s="53">
        <v>235.79999999999998</v>
      </c>
      <c r="O185" s="89">
        <f t="shared" si="283"/>
        <v>5945.2269999999999</v>
      </c>
      <c r="P185" s="92">
        <v>5169.2533560991633</v>
      </c>
      <c r="Q185" s="92">
        <v>517.31576260055817</v>
      </c>
      <c r="R185" s="92">
        <v>258.65788130027897</v>
      </c>
      <c r="S185" s="89">
        <f t="shared" si="287"/>
        <v>-141.77299999999957</v>
      </c>
      <c r="T185" s="54">
        <f>P185-H185</f>
        <v>-122.74664390083672</v>
      </c>
      <c r="U185" s="54">
        <f t="shared" ref="U185:V185" si="321">Q185-I185</f>
        <v>-12.684237399441827</v>
      </c>
      <c r="V185" s="54">
        <f t="shared" si="321"/>
        <v>-6.342118699721027</v>
      </c>
      <c r="W185" s="93"/>
      <c r="X185" s="109"/>
      <c r="Y185" s="37">
        <v>4</v>
      </c>
      <c r="Z185" s="55"/>
      <c r="AA185" s="55"/>
      <c r="AB185" s="55"/>
      <c r="AC185" s="56"/>
      <c r="AD185" s="56">
        <f>H184-AD184</f>
        <v>0</v>
      </c>
      <c r="AE185" s="56">
        <f>I184-AE184</f>
        <v>0</v>
      </c>
      <c r="AF185" s="56"/>
      <c r="AK185" s="171"/>
      <c r="AL185" s="171"/>
      <c r="AM185" s="171"/>
      <c r="AN185" s="171"/>
      <c r="AO185" s="171"/>
      <c r="AP185" s="171"/>
      <c r="AQ185" s="171"/>
      <c r="AR185" s="171">
        <f>P185*5%</f>
        <v>258.46266780495819</v>
      </c>
      <c r="AS185" s="171"/>
    </row>
    <row r="186" spans="1:45" s="50" customFormat="1" ht="102">
      <c r="A186" s="31">
        <v>2</v>
      </c>
      <c r="B186" s="32" t="s">
        <v>164</v>
      </c>
      <c r="C186" s="33" t="s">
        <v>251</v>
      </c>
      <c r="D186" s="33" t="s">
        <v>165</v>
      </c>
      <c r="E186" s="33" t="s">
        <v>14</v>
      </c>
      <c r="F186" s="33" t="s">
        <v>45</v>
      </c>
      <c r="G186" s="103">
        <f>SUM(H186:J186)</f>
        <v>7074</v>
      </c>
      <c r="H186" s="53">
        <v>6151</v>
      </c>
      <c r="I186" s="53">
        <v>616</v>
      </c>
      <c r="J186" s="53">
        <v>307</v>
      </c>
      <c r="K186" s="89">
        <f t="shared" si="282"/>
        <v>7096.96</v>
      </c>
      <c r="L186" s="53">
        <v>6088</v>
      </c>
      <c r="M186" s="53">
        <v>735</v>
      </c>
      <c r="N186" s="53">
        <v>273.95999999999998</v>
      </c>
      <c r="O186" s="89">
        <f t="shared" si="283"/>
        <v>6890.78</v>
      </c>
      <c r="P186" s="92">
        <v>5991.9826086956518</v>
      </c>
      <c r="Q186" s="92">
        <v>599.19826086956516</v>
      </c>
      <c r="R186" s="92">
        <v>299.59913043478258</v>
      </c>
      <c r="S186" s="89">
        <f t="shared" si="287"/>
        <v>-183.22000000000043</v>
      </c>
      <c r="T186" s="54">
        <f t="shared" ref="T186:T187" si="322">P186-H186</f>
        <v>-159.01739130434817</v>
      </c>
      <c r="U186" s="54">
        <f t="shared" ref="U186:U187" si="323">Q186-I186</f>
        <v>-16.801739130434839</v>
      </c>
      <c r="V186" s="54">
        <f t="shared" ref="V186:V187" si="324">R186-J186</f>
        <v>-7.4008695652174197</v>
      </c>
      <c r="W186" s="93"/>
      <c r="X186" s="109"/>
      <c r="Y186" s="37">
        <v>401</v>
      </c>
      <c r="Z186" s="55">
        <f>H186/$G186</f>
        <v>0.86952219394967489</v>
      </c>
      <c r="AA186" s="55">
        <f>I186/$G186</f>
        <v>8.7079445858071813E-2</v>
      </c>
      <c r="AB186" s="55">
        <f>J186/$G186</f>
        <v>4.3398360192253321E-2</v>
      </c>
      <c r="AC186" s="56">
        <f>ROUNDDOWN($Y186*Z186,0)+1</f>
        <v>349</v>
      </c>
      <c r="AD186" s="56">
        <f t="shared" ref="AD186" si="325">ROUNDDOWN($Y186*AA186,0)</f>
        <v>34</v>
      </c>
      <c r="AE186" s="56">
        <f>ROUNDDOWN($Y186*AB186,0)+1</f>
        <v>18</v>
      </c>
      <c r="AF186" s="56">
        <f>Y186-AC186-AD186-AE186</f>
        <v>0</v>
      </c>
      <c r="AK186" s="171"/>
      <c r="AL186" s="171"/>
      <c r="AM186" s="171"/>
      <c r="AN186" s="171"/>
      <c r="AO186" s="171"/>
      <c r="AP186" s="171"/>
      <c r="AQ186" s="171"/>
      <c r="AR186" s="171">
        <f t="shared" ref="AR186:AR187" si="326">P186*5%</f>
        <v>299.59913043478258</v>
      </c>
      <c r="AS186" s="171"/>
    </row>
    <row r="187" spans="1:45" s="50" customFormat="1" ht="102">
      <c r="A187" s="31">
        <v>3</v>
      </c>
      <c r="B187" s="32" t="s">
        <v>166</v>
      </c>
      <c r="C187" s="33" t="s">
        <v>251</v>
      </c>
      <c r="D187" s="33" t="s">
        <v>168</v>
      </c>
      <c r="E187" s="33" t="s">
        <v>36</v>
      </c>
      <c r="F187" s="33" t="s">
        <v>48</v>
      </c>
      <c r="G187" s="103">
        <f>SUM(H187:J187)</f>
        <v>7302.5</v>
      </c>
      <c r="H187" s="53">
        <v>6350</v>
      </c>
      <c r="I187" s="53">
        <v>635</v>
      </c>
      <c r="J187" s="53">
        <f>H187*5%</f>
        <v>317.5</v>
      </c>
      <c r="K187" s="89">
        <f t="shared" si="282"/>
        <v>1453</v>
      </c>
      <c r="L187" s="53">
        <v>1139</v>
      </c>
      <c r="M187" s="53">
        <v>314</v>
      </c>
      <c r="N187" s="53"/>
      <c r="O187" s="89">
        <f t="shared" si="283"/>
        <v>5404</v>
      </c>
      <c r="P187" s="92">
        <v>4681</v>
      </c>
      <c r="Q187" s="92">
        <v>467</v>
      </c>
      <c r="R187" s="92">
        <f>234+22</f>
        <v>256</v>
      </c>
      <c r="S187" s="89">
        <f t="shared" si="287"/>
        <v>-1898.5</v>
      </c>
      <c r="T187" s="54">
        <f t="shared" si="322"/>
        <v>-1669</v>
      </c>
      <c r="U187" s="54">
        <f t="shared" si="323"/>
        <v>-168</v>
      </c>
      <c r="V187" s="54">
        <f t="shared" si="324"/>
        <v>-61.5</v>
      </c>
      <c r="W187" s="93"/>
      <c r="X187" s="109"/>
      <c r="Y187" s="37"/>
      <c r="Z187" s="55"/>
      <c r="AA187" s="55"/>
      <c r="AB187" s="55"/>
      <c r="AC187" s="56"/>
      <c r="AD187" s="56">
        <f>AD186-P184</f>
        <v>-15808.235964794814</v>
      </c>
      <c r="AE187" s="56">
        <f>AE186-Q184</f>
        <v>-1565.5140234701234</v>
      </c>
      <c r="AF187" s="56"/>
      <c r="AK187" s="171"/>
      <c r="AL187" s="171"/>
      <c r="AM187" s="171"/>
      <c r="AN187" s="171"/>
      <c r="AO187" s="171"/>
      <c r="AP187" s="171"/>
      <c r="AQ187" s="171"/>
      <c r="AR187" s="171">
        <f t="shared" si="326"/>
        <v>234.05</v>
      </c>
      <c r="AS187" s="171"/>
    </row>
    <row r="188" spans="1:45" s="51" customFormat="1" ht="31.5" customHeight="1">
      <c r="A188" s="120"/>
      <c r="B188" s="121" t="s">
        <v>264</v>
      </c>
      <c r="C188" s="122"/>
      <c r="D188" s="122"/>
      <c r="E188" s="122"/>
      <c r="F188" s="122"/>
      <c r="G188" s="103">
        <f>SUM(H188:J188)</f>
        <v>405</v>
      </c>
      <c r="H188" s="113">
        <v>353</v>
      </c>
      <c r="I188" s="113">
        <v>34</v>
      </c>
      <c r="J188" s="113">
        <v>18</v>
      </c>
      <c r="K188" s="89">
        <f t="shared" si="282"/>
        <v>0</v>
      </c>
      <c r="L188" s="113"/>
      <c r="M188" s="113"/>
      <c r="N188" s="113"/>
      <c r="O188" s="89">
        <f t="shared" si="283"/>
        <v>0</v>
      </c>
      <c r="P188" s="92"/>
      <c r="Q188" s="92"/>
      <c r="R188" s="92"/>
      <c r="S188" s="89">
        <f t="shared" si="287"/>
        <v>-405</v>
      </c>
      <c r="T188" s="54">
        <f t="shared" ref="T188" si="327">P188-H188</f>
        <v>-353</v>
      </c>
      <c r="U188" s="54">
        <f t="shared" ref="U188" si="328">Q188-I188</f>
        <v>-34</v>
      </c>
      <c r="V188" s="54">
        <f t="shared" ref="V188" si="329">R188-J188</f>
        <v>-18</v>
      </c>
      <c r="W188" s="93"/>
      <c r="X188" s="109"/>
      <c r="Y188" s="114"/>
      <c r="Z188" s="139"/>
      <c r="AA188" s="139"/>
      <c r="AB188" s="139"/>
      <c r="AC188" s="115"/>
      <c r="AD188" s="115"/>
      <c r="AE188" s="115"/>
      <c r="AF188" s="115"/>
      <c r="AK188" s="183"/>
      <c r="AL188" s="183"/>
      <c r="AM188" s="183"/>
      <c r="AN188" s="183"/>
      <c r="AO188" s="183"/>
      <c r="AP188" s="183"/>
      <c r="AQ188" s="183"/>
      <c r="AR188" s="183"/>
      <c r="AS188" s="183"/>
    </row>
    <row r="189" spans="1:45" s="14" customFormat="1" ht="54" customHeight="1">
      <c r="A189" s="210" t="s">
        <v>418</v>
      </c>
      <c r="B189" s="211"/>
      <c r="C189" s="211"/>
      <c r="D189" s="211"/>
      <c r="E189" s="211"/>
      <c r="F189" s="212"/>
      <c r="G189" s="148">
        <f>G190+G191</f>
        <v>3770</v>
      </c>
      <c r="H189" s="148">
        <f t="shared" ref="H189:V189" si="330">H190+H191</f>
        <v>3277</v>
      </c>
      <c r="I189" s="148">
        <f t="shared" si="330"/>
        <v>328</v>
      </c>
      <c r="J189" s="148">
        <f t="shared" si="330"/>
        <v>165</v>
      </c>
      <c r="K189" s="148">
        <f t="shared" si="330"/>
        <v>3141</v>
      </c>
      <c r="L189" s="148">
        <f t="shared" si="330"/>
        <v>2856</v>
      </c>
      <c r="M189" s="148">
        <f t="shared" si="330"/>
        <v>285</v>
      </c>
      <c r="N189" s="148">
        <f t="shared" si="330"/>
        <v>0</v>
      </c>
      <c r="O189" s="148">
        <f t="shared" si="330"/>
        <v>4052</v>
      </c>
      <c r="P189" s="148">
        <f t="shared" si="330"/>
        <v>3523</v>
      </c>
      <c r="Q189" s="148">
        <f t="shared" si="330"/>
        <v>352</v>
      </c>
      <c r="R189" s="148">
        <f t="shared" si="330"/>
        <v>177</v>
      </c>
      <c r="S189" s="148">
        <f t="shared" si="330"/>
        <v>282</v>
      </c>
      <c r="T189" s="148">
        <f t="shared" si="330"/>
        <v>246</v>
      </c>
      <c r="U189" s="148">
        <f t="shared" si="330"/>
        <v>24</v>
      </c>
      <c r="V189" s="148">
        <f t="shared" si="330"/>
        <v>12</v>
      </c>
      <c r="W189" s="149"/>
      <c r="X189" s="150"/>
      <c r="Y189" s="137"/>
      <c r="Z189" s="137"/>
      <c r="AA189" s="137"/>
      <c r="AB189" s="137"/>
      <c r="AC189" s="137"/>
      <c r="AD189" s="137"/>
      <c r="AE189" s="137"/>
      <c r="AF189" s="137"/>
      <c r="AK189" s="171"/>
      <c r="AL189" s="171"/>
      <c r="AM189" s="171"/>
      <c r="AN189" s="171"/>
      <c r="AO189" s="171"/>
      <c r="AP189" s="171"/>
      <c r="AQ189" s="171"/>
      <c r="AR189" s="171"/>
      <c r="AS189" s="171"/>
    </row>
    <row r="190" spans="1:45" s="50" customFormat="1" ht="76.5">
      <c r="A190" s="31">
        <v>1</v>
      </c>
      <c r="B190" s="32" t="s">
        <v>258</v>
      </c>
      <c r="C190" s="33" t="s">
        <v>253</v>
      </c>
      <c r="D190" s="33" t="s">
        <v>259</v>
      </c>
      <c r="E190" s="33" t="s">
        <v>260</v>
      </c>
      <c r="F190" s="33" t="s">
        <v>62</v>
      </c>
      <c r="G190" s="103">
        <f>SUM(H190:J190)</f>
        <v>2970</v>
      </c>
      <c r="H190" s="53">
        <v>2582</v>
      </c>
      <c r="I190" s="53">
        <v>258</v>
      </c>
      <c r="J190" s="53">
        <v>130</v>
      </c>
      <c r="K190" s="89">
        <f t="shared" ref="K190:K191" si="331">L190+M190+N190</f>
        <v>2479</v>
      </c>
      <c r="L190" s="53">
        <v>2254</v>
      </c>
      <c r="M190" s="53">
        <v>225</v>
      </c>
      <c r="N190" s="53"/>
      <c r="O190" s="89">
        <f t="shared" ref="O190:O191" si="332">P190+Q190+R190</f>
        <v>2970</v>
      </c>
      <c r="P190" s="92">
        <f>H190</f>
        <v>2582</v>
      </c>
      <c r="Q190" s="92">
        <f t="shared" ref="Q190:R190" si="333">I190</f>
        <v>258</v>
      </c>
      <c r="R190" s="92">
        <f t="shared" si="333"/>
        <v>130</v>
      </c>
      <c r="S190" s="89">
        <f t="shared" ref="S190:S191" si="334">T190+U190+V190</f>
        <v>0</v>
      </c>
      <c r="T190" s="54"/>
      <c r="U190" s="54"/>
      <c r="V190" s="54"/>
      <c r="W190" s="93" t="s">
        <v>279</v>
      </c>
      <c r="X190" s="109"/>
      <c r="Y190" s="37"/>
      <c r="Z190" s="55"/>
      <c r="AA190" s="55"/>
      <c r="AB190" s="55"/>
      <c r="AC190" s="56"/>
      <c r="AD190" s="56">
        <f>AD189-P187</f>
        <v>-4681</v>
      </c>
      <c r="AE190" s="56">
        <f>AE189-Q187</f>
        <v>-467</v>
      </c>
      <c r="AF190" s="56"/>
      <c r="AK190" s="171"/>
      <c r="AL190" s="171"/>
      <c r="AM190" s="171"/>
      <c r="AN190" s="171"/>
      <c r="AO190" s="171"/>
      <c r="AP190" s="171"/>
      <c r="AQ190" s="171"/>
      <c r="AR190" s="171"/>
      <c r="AS190" s="171"/>
    </row>
    <row r="191" spans="1:45" s="50" customFormat="1" ht="114.75">
      <c r="A191" s="31">
        <v>2</v>
      </c>
      <c r="B191" s="32" t="s">
        <v>419</v>
      </c>
      <c r="C191" s="33" t="s">
        <v>420</v>
      </c>
      <c r="D191" s="33" t="s">
        <v>422</v>
      </c>
      <c r="E191" s="33" t="s">
        <v>14</v>
      </c>
      <c r="F191" s="33" t="s">
        <v>48</v>
      </c>
      <c r="G191" s="103">
        <f>SUM(H191:J191)</f>
        <v>800</v>
      </c>
      <c r="H191" s="53">
        <v>695</v>
      </c>
      <c r="I191" s="53">
        <v>70</v>
      </c>
      <c r="J191" s="53">
        <v>35</v>
      </c>
      <c r="K191" s="89">
        <f t="shared" si="331"/>
        <v>662</v>
      </c>
      <c r="L191" s="53">
        <v>602</v>
      </c>
      <c r="M191" s="53">
        <v>60</v>
      </c>
      <c r="N191" s="53"/>
      <c r="O191" s="89">
        <f t="shared" si="332"/>
        <v>1082</v>
      </c>
      <c r="P191" s="92">
        <f>H191+T191</f>
        <v>941</v>
      </c>
      <c r="Q191" s="92">
        <f t="shared" ref="Q191:R191" si="335">I191+U191</f>
        <v>94</v>
      </c>
      <c r="R191" s="92">
        <f t="shared" si="335"/>
        <v>47</v>
      </c>
      <c r="S191" s="89">
        <f t="shared" si="334"/>
        <v>282</v>
      </c>
      <c r="T191" s="54">
        <v>246</v>
      </c>
      <c r="U191" s="54">
        <v>24</v>
      </c>
      <c r="V191" s="54">
        <v>12</v>
      </c>
      <c r="W191" s="93" t="s">
        <v>421</v>
      </c>
      <c r="X191" s="109"/>
      <c r="Y191" s="37"/>
      <c r="Z191" s="55"/>
      <c r="AA191" s="55"/>
      <c r="AB191" s="55"/>
      <c r="AC191" s="56"/>
      <c r="AD191" s="56">
        <f>AD190-P188</f>
        <v>-4681</v>
      </c>
      <c r="AE191" s="56">
        <f>AE190-Q188</f>
        <v>-467</v>
      </c>
      <c r="AF191" s="56"/>
      <c r="AK191" s="171"/>
      <c r="AL191" s="171"/>
      <c r="AM191" s="171"/>
      <c r="AN191" s="171"/>
      <c r="AO191" s="171"/>
      <c r="AP191" s="171"/>
      <c r="AQ191" s="171"/>
      <c r="AR191" s="171"/>
      <c r="AS191" s="171"/>
    </row>
    <row r="192" spans="1:45" s="14" customFormat="1" ht="54" customHeight="1">
      <c r="A192" s="210" t="s">
        <v>170</v>
      </c>
      <c r="B192" s="211"/>
      <c r="C192" s="211"/>
      <c r="D192" s="211"/>
      <c r="E192" s="211"/>
      <c r="F192" s="212"/>
      <c r="G192" s="148">
        <f>G193</f>
        <v>8086</v>
      </c>
      <c r="H192" s="148">
        <f t="shared" ref="H192:V193" si="336">H193</f>
        <v>7335</v>
      </c>
      <c r="I192" s="148">
        <f t="shared" si="336"/>
        <v>500</v>
      </c>
      <c r="J192" s="148">
        <f t="shared" si="336"/>
        <v>251</v>
      </c>
      <c r="K192" s="148">
        <f t="shared" si="336"/>
        <v>0</v>
      </c>
      <c r="L192" s="148">
        <f t="shared" si="336"/>
        <v>0</v>
      </c>
      <c r="M192" s="148">
        <f t="shared" si="336"/>
        <v>0</v>
      </c>
      <c r="N192" s="148">
        <f t="shared" si="336"/>
        <v>0</v>
      </c>
      <c r="O192" s="148">
        <f t="shared" si="336"/>
        <v>10657</v>
      </c>
      <c r="P192" s="148">
        <f t="shared" si="336"/>
        <v>9477</v>
      </c>
      <c r="Q192" s="148">
        <f t="shared" si="336"/>
        <v>821</v>
      </c>
      <c r="R192" s="148">
        <f t="shared" si="336"/>
        <v>359</v>
      </c>
      <c r="S192" s="148">
        <f t="shared" si="336"/>
        <v>2571</v>
      </c>
      <c r="T192" s="148">
        <f t="shared" si="336"/>
        <v>2142</v>
      </c>
      <c r="U192" s="148">
        <f t="shared" si="336"/>
        <v>321</v>
      </c>
      <c r="V192" s="148">
        <f t="shared" si="336"/>
        <v>108</v>
      </c>
      <c r="W192" s="149"/>
      <c r="X192" s="150"/>
      <c r="Y192" s="137"/>
      <c r="Z192" s="137"/>
      <c r="AA192" s="137"/>
      <c r="AB192" s="137"/>
      <c r="AC192" s="137"/>
      <c r="AD192" s="137"/>
      <c r="AE192" s="137"/>
      <c r="AF192" s="137"/>
      <c r="AK192" s="171"/>
      <c r="AL192" s="171"/>
      <c r="AM192" s="171"/>
      <c r="AN192" s="171"/>
      <c r="AO192" s="171"/>
      <c r="AP192" s="171"/>
      <c r="AQ192" s="171"/>
      <c r="AR192" s="171"/>
      <c r="AS192" s="171"/>
    </row>
    <row r="193" spans="1:45" s="9" customFormat="1" ht="30.95" customHeight="1">
      <c r="A193" s="225" t="s">
        <v>13</v>
      </c>
      <c r="B193" s="226"/>
      <c r="C193" s="226"/>
      <c r="D193" s="226"/>
      <c r="E193" s="226"/>
      <c r="F193" s="227"/>
      <c r="G193" s="104">
        <f>G194</f>
        <v>8086</v>
      </c>
      <c r="H193" s="104">
        <f t="shared" si="336"/>
        <v>7335</v>
      </c>
      <c r="I193" s="104">
        <f t="shared" si="336"/>
        <v>500</v>
      </c>
      <c r="J193" s="104">
        <f t="shared" si="336"/>
        <v>251</v>
      </c>
      <c r="K193" s="104">
        <f t="shared" si="336"/>
        <v>0</v>
      </c>
      <c r="L193" s="104">
        <f t="shared" si="336"/>
        <v>0</v>
      </c>
      <c r="M193" s="104">
        <f t="shared" si="336"/>
        <v>0</v>
      </c>
      <c r="N193" s="104">
        <f t="shared" si="336"/>
        <v>0</v>
      </c>
      <c r="O193" s="104">
        <f t="shared" si="336"/>
        <v>10657</v>
      </c>
      <c r="P193" s="104">
        <f t="shared" si="336"/>
        <v>9477</v>
      </c>
      <c r="Q193" s="104">
        <f t="shared" si="336"/>
        <v>821</v>
      </c>
      <c r="R193" s="104">
        <f t="shared" si="336"/>
        <v>359</v>
      </c>
      <c r="S193" s="104">
        <f t="shared" si="336"/>
        <v>2571</v>
      </c>
      <c r="T193" s="104">
        <f t="shared" si="336"/>
        <v>2142</v>
      </c>
      <c r="U193" s="104">
        <f t="shared" si="336"/>
        <v>321</v>
      </c>
      <c r="V193" s="104">
        <f t="shared" si="336"/>
        <v>108</v>
      </c>
      <c r="W193" s="151"/>
      <c r="X193" s="152"/>
      <c r="Y193" s="127"/>
      <c r="Z193" s="127"/>
      <c r="AA193" s="127"/>
      <c r="AB193" s="127"/>
      <c r="AC193" s="35"/>
      <c r="AD193" s="35">
        <v>18146</v>
      </c>
      <c r="AE193" s="35">
        <v>1815</v>
      </c>
      <c r="AF193" s="127"/>
      <c r="AK193" s="168"/>
      <c r="AL193" s="168"/>
      <c r="AM193" s="168"/>
      <c r="AN193" s="168"/>
      <c r="AO193" s="168"/>
      <c r="AP193" s="168"/>
      <c r="AQ193" s="168"/>
      <c r="AR193" s="168"/>
      <c r="AS193" s="168"/>
    </row>
    <row r="194" spans="1:45" s="51" customFormat="1" ht="23.45" customHeight="1">
      <c r="A194" s="120">
        <v>1</v>
      </c>
      <c r="B194" s="121" t="s">
        <v>295</v>
      </c>
      <c r="C194" s="122" t="s">
        <v>178</v>
      </c>
      <c r="D194" s="122"/>
      <c r="E194" s="122"/>
      <c r="F194" s="122" t="s">
        <v>226</v>
      </c>
      <c r="G194" s="112">
        <f>H194+I194+J194</f>
        <v>8086</v>
      </c>
      <c r="H194" s="113">
        <v>7335</v>
      </c>
      <c r="I194" s="113">
        <v>500</v>
      </c>
      <c r="J194" s="113">
        <v>251</v>
      </c>
      <c r="K194" s="89">
        <f t="shared" si="282"/>
        <v>0</v>
      </c>
      <c r="L194" s="113"/>
      <c r="M194" s="113"/>
      <c r="N194" s="113"/>
      <c r="O194" s="89">
        <f t="shared" si="283"/>
        <v>10657</v>
      </c>
      <c r="P194" s="92">
        <f t="shared" si="284"/>
        <v>9477</v>
      </c>
      <c r="Q194" s="92">
        <f t="shared" si="285"/>
        <v>821</v>
      </c>
      <c r="R194" s="92">
        <f>J194+V194</f>
        <v>359</v>
      </c>
      <c r="S194" s="89">
        <f t="shared" si="287"/>
        <v>2571</v>
      </c>
      <c r="T194" s="54">
        <v>2142</v>
      </c>
      <c r="U194" s="54">
        <v>321</v>
      </c>
      <c r="V194" s="54">
        <v>108</v>
      </c>
      <c r="W194" s="93"/>
      <c r="X194" s="109"/>
      <c r="Y194" s="114"/>
      <c r="Z194" s="139"/>
      <c r="AA194" s="139"/>
      <c r="AB194" s="139"/>
      <c r="AC194" s="115"/>
      <c r="AD194" s="115"/>
      <c r="AE194" s="115"/>
      <c r="AF194" s="115"/>
      <c r="AK194" s="183"/>
      <c r="AL194" s="183"/>
      <c r="AM194" s="183"/>
      <c r="AN194" s="183"/>
      <c r="AO194" s="183"/>
      <c r="AP194" s="183"/>
      <c r="AQ194" s="183"/>
      <c r="AR194" s="183"/>
      <c r="AS194" s="183"/>
    </row>
  </sheetData>
  <mergeCells count="46">
    <mergeCell ref="A192:F192"/>
    <mergeCell ref="A193:F193"/>
    <mergeCell ref="A1:W1"/>
    <mergeCell ref="O6:O8"/>
    <mergeCell ref="P6:R6"/>
    <mergeCell ref="P7:P8"/>
    <mergeCell ref="Q7:Q8"/>
    <mergeCell ref="R7:R8"/>
    <mergeCell ref="B2:R2"/>
    <mergeCell ref="H6:J6"/>
    <mergeCell ref="H7:H8"/>
    <mergeCell ref="G6:G8"/>
    <mergeCell ref="A183:F183"/>
    <mergeCell ref="A184:F184"/>
    <mergeCell ref="S5:V5"/>
    <mergeCell ref="S6:S8"/>
    <mergeCell ref="B3:W3"/>
    <mergeCell ref="O4:W4"/>
    <mergeCell ref="W5:W8"/>
    <mergeCell ref="J7:J8"/>
    <mergeCell ref="G5:J5"/>
    <mergeCell ref="I7:I8"/>
    <mergeCell ref="O5:R5"/>
    <mergeCell ref="K5:N5"/>
    <mergeCell ref="K6:K8"/>
    <mergeCell ref="L6:N6"/>
    <mergeCell ref="L7:L8"/>
    <mergeCell ref="M7:M8"/>
    <mergeCell ref="N7:N8"/>
    <mergeCell ref="E5:E8"/>
    <mergeCell ref="B181:D181"/>
    <mergeCell ref="A189:F189"/>
    <mergeCell ref="T6:V6"/>
    <mergeCell ref="T7:T8"/>
    <mergeCell ref="U7:U8"/>
    <mergeCell ref="V7:V8"/>
    <mergeCell ref="A61:E61"/>
    <mergeCell ref="D5:D8"/>
    <mergeCell ref="A60:F60"/>
    <mergeCell ref="A54:F54"/>
    <mergeCell ref="A11:F11"/>
    <mergeCell ref="F5:F8"/>
    <mergeCell ref="A5:A8"/>
    <mergeCell ref="B5:B8"/>
    <mergeCell ref="C5:C8"/>
    <mergeCell ref="A10:B10"/>
  </mergeCells>
  <phoneticPr fontId="72" type="noConversion"/>
  <printOptions horizontalCentered="1"/>
  <pageMargins left="0" right="0" top="0.55118110236220497" bottom="0.511811023622047" header="0.31496062992126" footer="0.31496062992126"/>
  <pageSetup paperSize="9" scale="65" orientation="landscape" r:id="rId1"/>
  <headerFooter>
    <oddFooter>&amp;CTrang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workbookViewId="0">
      <selection activeCell="D5" sqref="D5:D8"/>
    </sheetView>
  </sheetViews>
  <sheetFormatPr defaultColWidth="8.7109375" defaultRowHeight="16.5"/>
  <cols>
    <col min="1" max="1" width="5.140625" style="4" customWidth="1"/>
    <col min="2" max="2" width="46.85546875" style="4" customWidth="1"/>
    <col min="3" max="3" width="16.5703125" style="4" customWidth="1"/>
    <col min="4" max="4" width="24.5703125" style="4" customWidth="1"/>
    <col min="5" max="5" width="12.5703125" style="4" customWidth="1"/>
    <col min="6" max="6" width="11.5703125" style="4" customWidth="1"/>
    <col min="7" max="7" width="10.42578125" style="4" customWidth="1"/>
    <col min="8" max="9" width="8.7109375" style="4"/>
    <col min="10" max="10" width="8" style="4" customWidth="1"/>
    <col min="11" max="11" width="8.7109375" style="4"/>
    <col min="12" max="12" width="14.140625" style="4" customWidth="1"/>
    <col min="13" max="13" width="15.5703125" style="4" customWidth="1"/>
    <col min="14" max="14" width="11.140625" style="4" customWidth="1"/>
    <col min="15" max="15" width="10.5703125" style="4" customWidth="1"/>
    <col min="16" max="16" width="13.140625" style="4" customWidth="1"/>
    <col min="17" max="17" width="12.7109375" style="4" customWidth="1"/>
    <col min="18" max="18" width="11.140625" style="4" customWidth="1"/>
    <col min="19" max="16384" width="8.7109375" style="4"/>
  </cols>
  <sheetData>
    <row r="1" spans="1:19" ht="39.6" customHeight="1">
      <c r="A1" s="233" t="s">
        <v>293</v>
      </c>
      <c r="B1" s="233"/>
      <c r="C1" s="233"/>
      <c r="D1" s="233"/>
      <c r="E1" s="233"/>
      <c r="F1" s="233"/>
      <c r="G1" s="233"/>
      <c r="H1" s="233"/>
      <c r="I1" s="233"/>
      <c r="J1" s="233"/>
      <c r="K1" s="233"/>
    </row>
    <row r="2" spans="1:19" ht="24" hidden="1" customHeight="1">
      <c r="A2" s="48"/>
      <c r="B2" s="236" t="s">
        <v>261</v>
      </c>
      <c r="C2" s="236"/>
      <c r="D2" s="236"/>
      <c r="E2" s="236"/>
      <c r="F2" s="236"/>
      <c r="G2" s="236"/>
      <c r="H2" s="236"/>
      <c r="I2" s="236"/>
      <c r="J2" s="236"/>
      <c r="K2" s="48"/>
    </row>
    <row r="3" spans="1:19" ht="24" customHeight="1">
      <c r="A3" s="48"/>
      <c r="B3" s="236" t="s">
        <v>292</v>
      </c>
      <c r="C3" s="236"/>
      <c r="D3" s="236"/>
      <c r="E3" s="236"/>
      <c r="F3" s="236"/>
      <c r="G3" s="236"/>
      <c r="H3" s="236"/>
      <c r="I3" s="236"/>
      <c r="J3" s="236"/>
      <c r="K3" s="48"/>
    </row>
    <row r="4" spans="1:19" ht="17.25">
      <c r="G4" s="234"/>
      <c r="H4" s="234"/>
      <c r="I4" s="234"/>
      <c r="J4" s="234"/>
      <c r="K4" s="29"/>
    </row>
    <row r="5" spans="1:19" s="5" customFormat="1" ht="15" customHeight="1">
      <c r="A5" s="235" t="s">
        <v>0</v>
      </c>
      <c r="B5" s="235" t="s">
        <v>224</v>
      </c>
      <c r="C5" s="235" t="s">
        <v>175</v>
      </c>
      <c r="D5" s="235" t="s">
        <v>176</v>
      </c>
      <c r="E5" s="235" t="s">
        <v>20</v>
      </c>
      <c r="F5" s="235" t="s">
        <v>40</v>
      </c>
      <c r="G5" s="235" t="s">
        <v>17</v>
      </c>
      <c r="H5" s="235"/>
      <c r="I5" s="235"/>
      <c r="J5" s="235"/>
      <c r="K5" s="238" t="s">
        <v>173</v>
      </c>
      <c r="M5" s="235"/>
    </row>
    <row r="6" spans="1:19" s="5" customFormat="1" ht="15.75">
      <c r="A6" s="235"/>
      <c r="B6" s="235"/>
      <c r="C6" s="235"/>
      <c r="D6" s="235"/>
      <c r="E6" s="235"/>
      <c r="F6" s="235"/>
      <c r="G6" s="235" t="s">
        <v>10</v>
      </c>
      <c r="H6" s="239" t="s">
        <v>3</v>
      </c>
      <c r="I6" s="239"/>
      <c r="J6" s="239"/>
      <c r="K6" s="238"/>
      <c r="M6" s="235"/>
    </row>
    <row r="7" spans="1:19" s="5" customFormat="1" ht="15" customHeight="1">
      <c r="A7" s="235"/>
      <c r="B7" s="235"/>
      <c r="C7" s="235"/>
      <c r="D7" s="235"/>
      <c r="E7" s="235"/>
      <c r="F7" s="235"/>
      <c r="G7" s="235"/>
      <c r="H7" s="235" t="s">
        <v>1</v>
      </c>
      <c r="I7" s="235" t="s">
        <v>2</v>
      </c>
      <c r="J7" s="235" t="s">
        <v>16</v>
      </c>
      <c r="K7" s="238"/>
      <c r="M7" s="235"/>
    </row>
    <row r="8" spans="1:19" s="5" customFormat="1" ht="42.95" customHeight="1">
      <c r="A8" s="235"/>
      <c r="B8" s="235"/>
      <c r="C8" s="235"/>
      <c r="D8" s="235"/>
      <c r="E8" s="235"/>
      <c r="F8" s="235"/>
      <c r="G8" s="235"/>
      <c r="H8" s="235"/>
      <c r="I8" s="235"/>
      <c r="J8" s="235"/>
      <c r="K8" s="238"/>
      <c r="M8" s="235"/>
    </row>
    <row r="9" spans="1:19" s="6" customFormat="1" ht="15.75">
      <c r="A9" s="2" t="s">
        <v>11</v>
      </c>
      <c r="B9" s="2" t="s">
        <v>12</v>
      </c>
      <c r="C9" s="2" t="s">
        <v>18</v>
      </c>
      <c r="D9" s="2" t="s">
        <v>19</v>
      </c>
      <c r="E9" s="2" t="s">
        <v>21</v>
      </c>
      <c r="F9" s="2" t="s">
        <v>41</v>
      </c>
      <c r="G9" s="3" t="s">
        <v>248</v>
      </c>
      <c r="H9" s="3">
        <v>2</v>
      </c>
      <c r="I9" s="3">
        <v>3</v>
      </c>
      <c r="J9" s="3">
        <v>4</v>
      </c>
      <c r="K9" s="3">
        <v>5</v>
      </c>
    </row>
    <row r="10" spans="1:19" s="40" customFormat="1" ht="15.75">
      <c r="A10" s="240" t="s">
        <v>225</v>
      </c>
      <c r="B10" s="240"/>
      <c r="C10" s="47"/>
      <c r="D10" s="47"/>
      <c r="E10" s="47"/>
      <c r="F10" s="47"/>
      <c r="G10" s="39">
        <f>G11+G24+G27+G68+G72+G74</f>
        <v>54019</v>
      </c>
      <c r="H10" s="39">
        <f>H11+H24+H27+H68+H72+H74</f>
        <v>48812</v>
      </c>
      <c r="I10" s="39">
        <f>I11+I24+I27+I68+I72+I74</f>
        <v>5207</v>
      </c>
      <c r="J10" s="39">
        <f>J11+J24+J27+J68+J72+J74</f>
        <v>0</v>
      </c>
      <c r="K10" s="39"/>
    </row>
    <row r="11" spans="1:19" s="14" customFormat="1">
      <c r="A11" s="237" t="s">
        <v>161</v>
      </c>
      <c r="B11" s="237"/>
      <c r="C11" s="237"/>
      <c r="D11" s="237"/>
      <c r="E11" s="237"/>
      <c r="F11" s="237"/>
      <c r="G11" s="28">
        <f>H11+I11+J11</f>
        <v>11458</v>
      </c>
      <c r="H11" s="28">
        <v>10416</v>
      </c>
      <c r="I11" s="28">
        <v>1042</v>
      </c>
      <c r="J11" s="28"/>
      <c r="K11" s="28"/>
    </row>
    <row r="12" spans="1:19" s="5" customFormat="1">
      <c r="A12" s="41">
        <v>1</v>
      </c>
      <c r="B12" s="41" t="s">
        <v>227</v>
      </c>
      <c r="C12" s="41"/>
      <c r="D12" s="42"/>
      <c r="E12" s="42"/>
      <c r="F12" s="41"/>
      <c r="G12" s="13"/>
      <c r="H12" s="13"/>
      <c r="I12" s="13"/>
      <c r="J12" s="13"/>
      <c r="K12" s="13"/>
    </row>
    <row r="13" spans="1:19" s="5" customFormat="1">
      <c r="A13" s="43">
        <v>2</v>
      </c>
      <c r="B13" s="46" t="s">
        <v>228</v>
      </c>
      <c r="C13" s="42"/>
      <c r="D13" s="42"/>
      <c r="E13" s="45"/>
      <c r="F13" s="42"/>
      <c r="G13" s="13"/>
      <c r="H13" s="13"/>
      <c r="I13" s="13"/>
      <c r="J13" s="13"/>
      <c r="K13" s="13"/>
    </row>
    <row r="14" spans="1:19" s="5" customFormat="1">
      <c r="A14" s="43">
        <v>3</v>
      </c>
      <c r="B14" s="46" t="s">
        <v>229</v>
      </c>
      <c r="C14" s="42"/>
      <c r="D14" s="44"/>
      <c r="E14" s="45"/>
      <c r="F14" s="42"/>
      <c r="G14" s="13"/>
      <c r="H14" s="13"/>
      <c r="I14" s="13"/>
      <c r="J14" s="13"/>
      <c r="K14" s="13"/>
    </row>
    <row r="15" spans="1:19" s="5" customFormat="1">
      <c r="A15" s="43">
        <v>4</v>
      </c>
      <c r="B15" s="46" t="s">
        <v>230</v>
      </c>
      <c r="C15" s="42"/>
      <c r="D15" s="41"/>
      <c r="E15" s="45"/>
      <c r="F15" s="42"/>
      <c r="G15" s="13">
        <f t="shared" ref="G15:J15" si="0">SUM(G16:G23)</f>
        <v>11458</v>
      </c>
      <c r="H15" s="13">
        <f t="shared" si="0"/>
        <v>10416</v>
      </c>
      <c r="I15" s="13">
        <f t="shared" si="0"/>
        <v>1042</v>
      </c>
      <c r="J15" s="13">
        <f t="shared" si="0"/>
        <v>0</v>
      </c>
      <c r="K15" s="13">
        <f>K11-K12-K13-K14</f>
        <v>0</v>
      </c>
      <c r="L15" s="27" t="e">
        <f>SUM(#REF!)-#REF!</f>
        <v>#REF!</v>
      </c>
      <c r="M15" s="27" t="e">
        <f>SUM(#REF!)-#REF!</f>
        <v>#REF!</v>
      </c>
      <c r="N15" s="27" t="e">
        <f>SUM(#REF!)-#REF!</f>
        <v>#REF!</v>
      </c>
      <c r="O15" s="27" t="e">
        <f>SUM(#REF!)-#REF!</f>
        <v>#REF!</v>
      </c>
      <c r="P15" s="27">
        <f>SUM(G16:G23)-G15</f>
        <v>0</v>
      </c>
      <c r="Q15" s="27">
        <f t="shared" ref="Q15:S15" si="1">SUM(H16:H23)-H15</f>
        <v>0</v>
      </c>
      <c r="R15" s="27">
        <f t="shared" si="1"/>
        <v>0</v>
      </c>
      <c r="S15" s="27">
        <f t="shared" si="1"/>
        <v>0</v>
      </c>
    </row>
    <row r="16" spans="1:19" s="5" customFormat="1" ht="15.75">
      <c r="A16" s="1" t="s">
        <v>189</v>
      </c>
      <c r="B16" s="16" t="s">
        <v>231</v>
      </c>
      <c r="C16" s="17" t="s">
        <v>250</v>
      </c>
      <c r="D16" s="17" t="s">
        <v>232</v>
      </c>
      <c r="E16" s="17" t="s">
        <v>130</v>
      </c>
      <c r="F16" s="17" t="s">
        <v>45</v>
      </c>
      <c r="G16" s="7">
        <f>H16+I16+J16</f>
        <v>330</v>
      </c>
      <c r="H16" s="8">
        <v>300</v>
      </c>
      <c r="I16" s="8">
        <v>30</v>
      </c>
      <c r="J16" s="13"/>
      <c r="K16" s="13"/>
      <c r="L16" s="26" t="e">
        <f>G16/#REF!*100</f>
        <v>#REF!</v>
      </c>
    </row>
    <row r="17" spans="1:19" s="5" customFormat="1" ht="15.75">
      <c r="A17" s="1" t="s">
        <v>190</v>
      </c>
      <c r="B17" s="16" t="s">
        <v>233</v>
      </c>
      <c r="C17" s="17" t="s">
        <v>250</v>
      </c>
      <c r="D17" s="17" t="s">
        <v>234</v>
      </c>
      <c r="E17" s="17" t="s">
        <v>29</v>
      </c>
      <c r="F17" s="17" t="s">
        <v>45</v>
      </c>
      <c r="G17" s="7">
        <f t="shared" ref="G17" si="2">H17+I17+J17</f>
        <v>1561</v>
      </c>
      <c r="H17" s="8">
        <v>1421</v>
      </c>
      <c r="I17" s="8">
        <v>140</v>
      </c>
      <c r="J17" s="13"/>
      <c r="K17" s="13"/>
      <c r="L17" s="26" t="e">
        <f>G17/#REF!*100</f>
        <v>#REF!</v>
      </c>
    </row>
    <row r="18" spans="1:19" s="5" customFormat="1" ht="15.75">
      <c r="A18" s="1" t="s">
        <v>191</v>
      </c>
      <c r="B18" s="16" t="s">
        <v>235</v>
      </c>
      <c r="C18" s="17" t="s">
        <v>250</v>
      </c>
      <c r="D18" s="17" t="s">
        <v>236</v>
      </c>
      <c r="E18" s="17" t="s">
        <v>32</v>
      </c>
      <c r="F18" s="17" t="s">
        <v>45</v>
      </c>
      <c r="G18" s="7">
        <f>H18+I18+J18</f>
        <v>1439</v>
      </c>
      <c r="H18" s="8">
        <v>1308</v>
      </c>
      <c r="I18" s="8">
        <v>131</v>
      </c>
      <c r="J18" s="13"/>
      <c r="K18" s="13"/>
      <c r="L18" s="26" t="e">
        <f>G18/#REF!*100</f>
        <v>#REF!</v>
      </c>
    </row>
    <row r="19" spans="1:19" s="5" customFormat="1" ht="15.75">
      <c r="A19" s="1" t="s">
        <v>192</v>
      </c>
      <c r="B19" s="16" t="s">
        <v>237</v>
      </c>
      <c r="C19" s="17" t="s">
        <v>250</v>
      </c>
      <c r="D19" s="17" t="s">
        <v>238</v>
      </c>
      <c r="E19" s="17" t="s">
        <v>27</v>
      </c>
      <c r="F19" s="17" t="s">
        <v>45</v>
      </c>
      <c r="G19" s="7">
        <f t="shared" ref="G19:G20" si="3">H19+I19+J19</f>
        <v>1848</v>
      </c>
      <c r="H19" s="8">
        <v>1680</v>
      </c>
      <c r="I19" s="8">
        <v>168</v>
      </c>
      <c r="J19" s="13"/>
      <c r="K19" s="13"/>
      <c r="L19" s="26" t="e">
        <f>G19/#REF!*100</f>
        <v>#REF!</v>
      </c>
    </row>
    <row r="20" spans="1:19" s="5" customFormat="1" ht="15.75">
      <c r="A20" s="1" t="s">
        <v>193</v>
      </c>
      <c r="B20" s="16" t="s">
        <v>239</v>
      </c>
      <c r="C20" s="17" t="s">
        <v>250</v>
      </c>
      <c r="D20" s="17" t="s">
        <v>240</v>
      </c>
      <c r="E20" s="17" t="s">
        <v>36</v>
      </c>
      <c r="F20" s="17" t="s">
        <v>45</v>
      </c>
      <c r="G20" s="7">
        <f t="shared" si="3"/>
        <v>1678</v>
      </c>
      <c r="H20" s="8">
        <v>1525</v>
      </c>
      <c r="I20" s="8">
        <v>153</v>
      </c>
      <c r="J20" s="13"/>
      <c r="K20" s="13"/>
      <c r="L20" s="26" t="e">
        <f>G20/#REF!*100</f>
        <v>#REF!</v>
      </c>
    </row>
    <row r="21" spans="1:19" s="5" customFormat="1" ht="15.75">
      <c r="A21" s="1" t="s">
        <v>244</v>
      </c>
      <c r="B21" s="16" t="s">
        <v>241</v>
      </c>
      <c r="C21" s="17" t="s">
        <v>250</v>
      </c>
      <c r="D21" s="17" t="s">
        <v>242</v>
      </c>
      <c r="E21" s="17" t="s">
        <v>37</v>
      </c>
      <c r="F21" s="17" t="s">
        <v>45</v>
      </c>
      <c r="G21" s="7">
        <f>H21+I21+J21</f>
        <v>2248</v>
      </c>
      <c r="H21" s="8">
        <v>2044</v>
      </c>
      <c r="I21" s="8">
        <v>204</v>
      </c>
      <c r="J21" s="13"/>
      <c r="K21" s="13"/>
      <c r="L21" s="26" t="e">
        <f>G21/#REF!*100</f>
        <v>#REF!</v>
      </c>
    </row>
    <row r="22" spans="1:19" s="5" customFormat="1" ht="15.75">
      <c r="A22" s="1" t="s">
        <v>245</v>
      </c>
      <c r="B22" s="16" t="s">
        <v>249</v>
      </c>
      <c r="C22" s="17" t="s">
        <v>250</v>
      </c>
      <c r="D22" s="17" t="s">
        <v>234</v>
      </c>
      <c r="E22" s="17" t="s">
        <v>30</v>
      </c>
      <c r="F22" s="17" t="s">
        <v>45</v>
      </c>
      <c r="G22" s="7">
        <f t="shared" ref="G22:G23" si="4">H22+I22+J22</f>
        <v>1143</v>
      </c>
      <c r="H22" s="8">
        <v>1038</v>
      </c>
      <c r="I22" s="8">
        <v>105</v>
      </c>
      <c r="J22" s="13"/>
      <c r="K22" s="13"/>
      <c r="L22" s="26" t="e">
        <f>G22/#REF!*100</f>
        <v>#REF!</v>
      </c>
    </row>
    <row r="23" spans="1:19" s="5" customFormat="1" ht="15.75">
      <c r="A23" s="1" t="s">
        <v>246</v>
      </c>
      <c r="B23" s="16" t="s">
        <v>247</v>
      </c>
      <c r="C23" s="17" t="s">
        <v>250</v>
      </c>
      <c r="D23" s="17" t="s">
        <v>243</v>
      </c>
      <c r="E23" s="17" t="s">
        <v>32</v>
      </c>
      <c r="F23" s="17" t="s">
        <v>45</v>
      </c>
      <c r="G23" s="7">
        <f t="shared" si="4"/>
        <v>1211</v>
      </c>
      <c r="H23" s="8">
        <v>1100</v>
      </c>
      <c r="I23" s="8">
        <v>111</v>
      </c>
      <c r="J23" s="13"/>
      <c r="K23" s="13"/>
      <c r="L23" s="26" t="e">
        <f>G23/#REF!*100</f>
        <v>#REF!</v>
      </c>
    </row>
    <row r="24" spans="1:19" s="14" customFormat="1">
      <c r="A24" s="241" t="s">
        <v>152</v>
      </c>
      <c r="B24" s="242"/>
      <c r="C24" s="242"/>
      <c r="D24" s="242"/>
      <c r="E24" s="242"/>
      <c r="F24" s="243"/>
      <c r="G24" s="28">
        <f>SUM(G25:G26)</f>
        <v>5229</v>
      </c>
      <c r="H24" s="28">
        <f t="shared" ref="H24:I24" si="5">SUM(H25:H26)</f>
        <v>4754</v>
      </c>
      <c r="I24" s="28">
        <f t="shared" si="5"/>
        <v>475</v>
      </c>
      <c r="J24" s="28">
        <f>SUM(J25:J26)</f>
        <v>0</v>
      </c>
      <c r="K24" s="28"/>
    </row>
    <row r="25" spans="1:19" s="5" customFormat="1" ht="25.5">
      <c r="A25" s="1">
        <v>1</v>
      </c>
      <c r="B25" s="16" t="s">
        <v>154</v>
      </c>
      <c r="C25" s="17" t="s">
        <v>251</v>
      </c>
      <c r="D25" s="17" t="s">
        <v>158</v>
      </c>
      <c r="E25" s="17" t="s">
        <v>120</v>
      </c>
      <c r="F25" s="17" t="s">
        <v>62</v>
      </c>
      <c r="G25" s="7">
        <f>H25+I25+J25</f>
        <v>4829</v>
      </c>
      <c r="H25" s="8">
        <v>4354</v>
      </c>
      <c r="I25" s="8">
        <v>475</v>
      </c>
      <c r="J25" s="13"/>
      <c r="K25" s="13"/>
      <c r="L25" s="26" t="e">
        <f>G25/#REF!*100</f>
        <v>#REF!</v>
      </c>
    </row>
    <row r="26" spans="1:19" s="5" customFormat="1" ht="25.5">
      <c r="A26" s="1">
        <v>2</v>
      </c>
      <c r="B26" s="16" t="s">
        <v>156</v>
      </c>
      <c r="C26" s="17" t="s">
        <v>251</v>
      </c>
      <c r="D26" s="17" t="s">
        <v>160</v>
      </c>
      <c r="E26" s="17" t="s">
        <v>44</v>
      </c>
      <c r="F26" s="17" t="s">
        <v>62</v>
      </c>
      <c r="G26" s="7">
        <f t="shared" ref="G26" si="6">H26+I26+J26</f>
        <v>400</v>
      </c>
      <c r="H26" s="8">
        <v>400</v>
      </c>
      <c r="I26" s="8"/>
      <c r="J26" s="13"/>
      <c r="K26" s="17" t="s">
        <v>174</v>
      </c>
      <c r="L26" s="26" t="e">
        <f>G26/#REF!*100</f>
        <v>#REF!</v>
      </c>
    </row>
    <row r="27" spans="1:19" s="14" customFormat="1" ht="60" customHeight="1">
      <c r="A27" s="237" t="s">
        <v>153</v>
      </c>
      <c r="B27" s="237"/>
      <c r="C27" s="237"/>
      <c r="D27" s="237"/>
      <c r="E27" s="237"/>
      <c r="F27" s="237"/>
      <c r="G27" s="28">
        <f t="shared" ref="G27:J27" si="7">G28</f>
        <v>31773</v>
      </c>
      <c r="H27" s="28">
        <v>28885</v>
      </c>
      <c r="I27" s="28">
        <v>2888</v>
      </c>
      <c r="J27" s="28">
        <f t="shared" si="7"/>
        <v>0</v>
      </c>
      <c r="K27" s="28"/>
    </row>
    <row r="28" spans="1:19" s="9" customFormat="1" ht="15.75">
      <c r="A28" s="245" t="s">
        <v>9</v>
      </c>
      <c r="B28" s="245"/>
      <c r="C28" s="245"/>
      <c r="D28" s="245"/>
      <c r="E28" s="245"/>
      <c r="F28" s="46"/>
      <c r="G28" s="13">
        <f>G29+G39+G65</f>
        <v>31773</v>
      </c>
      <c r="H28" s="13">
        <v>28885</v>
      </c>
      <c r="I28" s="13">
        <v>2888</v>
      </c>
      <c r="J28" s="13">
        <f>J29+J39+J65</f>
        <v>0</v>
      </c>
      <c r="K28" s="13"/>
      <c r="P28" s="13"/>
      <c r="Q28" s="13">
        <v>28885</v>
      </c>
      <c r="R28" s="13">
        <v>2888</v>
      </c>
    </row>
    <row r="29" spans="1:19" s="14" customFormat="1" ht="15.75">
      <c r="A29" s="19" t="s">
        <v>5</v>
      </c>
      <c r="B29" s="20" t="s">
        <v>39</v>
      </c>
      <c r="C29" s="20"/>
      <c r="D29" s="20"/>
      <c r="E29" s="20"/>
      <c r="F29" s="20"/>
      <c r="G29" s="21">
        <f>G30+G32+G34+G36</f>
        <v>6395</v>
      </c>
      <c r="H29" s="21">
        <v>5836</v>
      </c>
      <c r="I29" s="21">
        <v>559</v>
      </c>
      <c r="J29" s="21">
        <f>J30+J32+J34+J36</f>
        <v>0</v>
      </c>
      <c r="K29" s="21"/>
    </row>
    <row r="30" spans="1:19" s="5" customFormat="1" ht="15.75">
      <c r="A30" s="30">
        <v>1</v>
      </c>
      <c r="B30" s="46" t="s">
        <v>28</v>
      </c>
      <c r="C30" s="46"/>
      <c r="D30" s="46"/>
      <c r="E30" s="46"/>
      <c r="F30" s="46"/>
      <c r="G30" s="13">
        <f>SUM(G31:G31)</f>
        <v>1642</v>
      </c>
      <c r="H30" s="13">
        <v>1496</v>
      </c>
      <c r="I30" s="13">
        <v>146</v>
      </c>
      <c r="J30" s="13">
        <f>SUM(J31:J31)</f>
        <v>0</v>
      </c>
      <c r="K30" s="13"/>
      <c r="L30" s="27" t="e">
        <f>SUM(#REF!)-#REF!</f>
        <v>#REF!</v>
      </c>
      <c r="M30" s="27" t="e">
        <f>SUM(#REF!)-#REF!</f>
        <v>#REF!</v>
      </c>
      <c r="N30" s="27" t="e">
        <f>SUM(#REF!)-#REF!</f>
        <v>#REF!</v>
      </c>
      <c r="O30" s="27" t="e">
        <f>SUM(#REF!)-#REF!</f>
        <v>#REF!</v>
      </c>
      <c r="P30" s="27">
        <f>SUM(G31:G31)-G30</f>
        <v>0</v>
      </c>
      <c r="Q30" s="27">
        <f>SUM(H31:H31)-H30</f>
        <v>0</v>
      </c>
      <c r="R30" s="27">
        <f>SUM(I31:I31)-I30</f>
        <v>0</v>
      </c>
      <c r="S30" s="27">
        <f>SUM(J31:J31)-J30</f>
        <v>0</v>
      </c>
    </row>
    <row r="31" spans="1:19" s="5" customFormat="1" ht="38.25">
      <c r="A31" s="1" t="s">
        <v>179</v>
      </c>
      <c r="B31" s="16" t="s">
        <v>42</v>
      </c>
      <c r="C31" s="17" t="s">
        <v>251</v>
      </c>
      <c r="D31" s="17" t="s">
        <v>43</v>
      </c>
      <c r="E31" s="17" t="s">
        <v>44</v>
      </c>
      <c r="F31" s="17" t="s">
        <v>45</v>
      </c>
      <c r="G31" s="13">
        <f>H31+I31</f>
        <v>1642</v>
      </c>
      <c r="H31" s="8">
        <v>1496</v>
      </c>
      <c r="I31" s="8">
        <v>146</v>
      </c>
      <c r="J31" s="15"/>
      <c r="K31" s="15"/>
      <c r="L31" s="26" t="e">
        <f>G31/#REF!*100</f>
        <v>#REF!</v>
      </c>
    </row>
    <row r="32" spans="1:19" s="5" customFormat="1" ht="15.75">
      <c r="A32" s="30">
        <v>2</v>
      </c>
      <c r="B32" s="46" t="s">
        <v>26</v>
      </c>
      <c r="C32" s="46"/>
      <c r="D32" s="46"/>
      <c r="E32" s="46"/>
      <c r="F32" s="46"/>
      <c r="G32" s="13">
        <f>SUM(G33:G33)</f>
        <v>725</v>
      </c>
      <c r="H32" s="13">
        <v>679</v>
      </c>
      <c r="I32" s="13">
        <v>46</v>
      </c>
      <c r="J32" s="13">
        <f>SUM(J33:J33)</f>
        <v>0</v>
      </c>
      <c r="K32" s="13"/>
      <c r="L32" s="27" t="e">
        <f>SUM(#REF!)-#REF!</f>
        <v>#REF!</v>
      </c>
      <c r="M32" s="27" t="e">
        <f>SUM(#REF!)-#REF!</f>
        <v>#REF!</v>
      </c>
      <c r="N32" s="27" t="e">
        <f>SUM(#REF!)-#REF!</f>
        <v>#REF!</v>
      </c>
      <c r="O32" s="27" t="e">
        <f>SUM(#REF!)-#REF!</f>
        <v>#REF!</v>
      </c>
      <c r="P32" s="27">
        <f>SUM(G33:G33)-G32</f>
        <v>0</v>
      </c>
      <c r="Q32" s="27">
        <f>SUM(H33:H33)-H32</f>
        <v>0</v>
      </c>
      <c r="R32" s="27">
        <f>SUM(I33:I33)-I32</f>
        <v>0</v>
      </c>
      <c r="S32" s="27">
        <f>SUM(J33:J33)-J32</f>
        <v>0</v>
      </c>
    </row>
    <row r="33" spans="1:19" s="5" customFormat="1" ht="25.5">
      <c r="A33" s="1" t="s">
        <v>181</v>
      </c>
      <c r="B33" s="16" t="s">
        <v>50</v>
      </c>
      <c r="C33" s="17" t="s">
        <v>251</v>
      </c>
      <c r="D33" s="17" t="s">
        <v>54</v>
      </c>
      <c r="E33" s="17" t="s">
        <v>55</v>
      </c>
      <c r="F33" s="17" t="s">
        <v>45</v>
      </c>
      <c r="G33" s="13">
        <f>H33+I33+J33</f>
        <v>725</v>
      </c>
      <c r="H33" s="8">
        <v>679</v>
      </c>
      <c r="I33" s="8">
        <v>46</v>
      </c>
      <c r="J33" s="15"/>
      <c r="K33" s="15"/>
      <c r="L33" s="26" t="e">
        <f>G33/#REF!*100</f>
        <v>#REF!</v>
      </c>
    </row>
    <row r="34" spans="1:19" s="5" customFormat="1" ht="15.75">
      <c r="A34" s="30">
        <v>3</v>
      </c>
      <c r="B34" s="46" t="s">
        <v>34</v>
      </c>
      <c r="C34" s="46"/>
      <c r="D34" s="46"/>
      <c r="E34" s="46"/>
      <c r="F34" s="46"/>
      <c r="G34" s="13">
        <f>SUM(G35:G35)</f>
        <v>3366</v>
      </c>
      <c r="H34" s="13">
        <v>3060</v>
      </c>
      <c r="I34" s="13">
        <v>306</v>
      </c>
      <c r="J34" s="13">
        <f>SUM(J35:J35)</f>
        <v>0</v>
      </c>
      <c r="K34" s="13"/>
      <c r="L34" s="27" t="e">
        <f>SUM(#REF!)-#REF!</f>
        <v>#REF!</v>
      </c>
      <c r="M34" s="27" t="e">
        <f>SUM(#REF!)-#REF!</f>
        <v>#REF!</v>
      </c>
      <c r="N34" s="27" t="e">
        <f>SUM(#REF!)-#REF!</f>
        <v>#REF!</v>
      </c>
      <c r="O34" s="27">
        <f>SUM(G35:G35)-G34</f>
        <v>0</v>
      </c>
      <c r="P34" s="27">
        <f>SUM(H35:H35)-H34</f>
        <v>0</v>
      </c>
      <c r="Q34" s="27">
        <f>SUM(I35:I35)-I34</f>
        <v>0</v>
      </c>
      <c r="R34" s="27"/>
      <c r="S34" s="27"/>
    </row>
    <row r="35" spans="1:19" s="5" customFormat="1" ht="25.5">
      <c r="A35" s="1" t="s">
        <v>186</v>
      </c>
      <c r="B35" s="16" t="s">
        <v>60</v>
      </c>
      <c r="C35" s="17" t="s">
        <v>251</v>
      </c>
      <c r="D35" s="17" t="s">
        <v>47</v>
      </c>
      <c r="E35" s="17" t="s">
        <v>61</v>
      </c>
      <c r="F35" s="17" t="s">
        <v>62</v>
      </c>
      <c r="G35" s="7">
        <f>H35+I35+J35</f>
        <v>3366</v>
      </c>
      <c r="H35" s="8">
        <v>3060</v>
      </c>
      <c r="I35" s="8">
        <v>306</v>
      </c>
      <c r="J35" s="15"/>
      <c r="K35" s="15"/>
      <c r="L35" s="26" t="e">
        <f>G35/#REF!*100</f>
        <v>#REF!</v>
      </c>
    </row>
    <row r="36" spans="1:19" s="25" customFormat="1" ht="15.75">
      <c r="A36" s="23">
        <v>4</v>
      </c>
      <c r="B36" s="24" t="s">
        <v>15</v>
      </c>
      <c r="C36" s="24"/>
      <c r="D36" s="24"/>
      <c r="E36" s="24"/>
      <c r="F36" s="24"/>
      <c r="G36" s="22">
        <f>SUM(G37:G38)</f>
        <v>662</v>
      </c>
      <c r="H36" s="22">
        <v>601</v>
      </c>
      <c r="I36" s="22">
        <v>61</v>
      </c>
      <c r="J36" s="22">
        <f>SUM(J37:J38)</f>
        <v>0</v>
      </c>
      <c r="K36" s="22"/>
      <c r="L36" s="27" t="e">
        <f>SUM(#REF!)-#REF!</f>
        <v>#REF!</v>
      </c>
      <c r="M36" s="27" t="e">
        <f>SUM(#REF!)-#REF!</f>
        <v>#REF!</v>
      </c>
      <c r="N36" s="27" t="e">
        <f>SUM(#REF!)-#REF!</f>
        <v>#REF!</v>
      </c>
      <c r="O36" s="27" t="e">
        <f>SUM(#REF!)-#REF!</f>
        <v>#REF!</v>
      </c>
      <c r="P36" s="27">
        <f>SUM(G37:G38)-G36</f>
        <v>0</v>
      </c>
      <c r="Q36" s="27">
        <f>SUM(H37:H38)-H36</f>
        <v>0</v>
      </c>
      <c r="R36" s="27">
        <f>SUM(I37:I38)-I36</f>
        <v>0</v>
      </c>
      <c r="S36" s="27">
        <f>SUM(J37:J38)-J36</f>
        <v>0</v>
      </c>
    </row>
    <row r="37" spans="1:19" s="6" customFormat="1" ht="25.5">
      <c r="A37" s="1" t="s">
        <v>189</v>
      </c>
      <c r="B37" s="16" t="s">
        <v>68</v>
      </c>
      <c r="C37" s="17" t="s">
        <v>76</v>
      </c>
      <c r="D37" s="17" t="s">
        <v>69</v>
      </c>
      <c r="E37" s="17" t="s">
        <v>70</v>
      </c>
      <c r="F37" s="17" t="s">
        <v>45</v>
      </c>
      <c r="G37" s="17">
        <f>H37+I37+J37</f>
        <v>349</v>
      </c>
      <c r="H37" s="8">
        <v>317</v>
      </c>
      <c r="I37" s="8">
        <v>32</v>
      </c>
      <c r="J37" s="12"/>
      <c r="K37" s="12"/>
      <c r="L37" s="26" t="e">
        <f>G37/#REF!*100</f>
        <v>#REF!</v>
      </c>
    </row>
    <row r="38" spans="1:19" s="6" customFormat="1" ht="25.5">
      <c r="A38" s="1" t="s">
        <v>190</v>
      </c>
      <c r="B38" s="16" t="s">
        <v>72</v>
      </c>
      <c r="C38" s="17" t="s">
        <v>76</v>
      </c>
      <c r="D38" s="17" t="s">
        <v>73</v>
      </c>
      <c r="E38" s="17" t="s">
        <v>74</v>
      </c>
      <c r="F38" s="17" t="s">
        <v>45</v>
      </c>
      <c r="G38" s="17">
        <f t="shared" ref="G38" si="8">H38+I38+J38</f>
        <v>313</v>
      </c>
      <c r="H38" s="8">
        <v>284</v>
      </c>
      <c r="I38" s="8">
        <v>29</v>
      </c>
      <c r="J38" s="12"/>
      <c r="K38" s="12"/>
      <c r="L38" s="26" t="e">
        <f>G38/#REF!*100</f>
        <v>#REF!</v>
      </c>
    </row>
    <row r="39" spans="1:19" s="14" customFormat="1" ht="15.75">
      <c r="A39" s="19" t="s">
        <v>6</v>
      </c>
      <c r="B39" s="20" t="s">
        <v>80</v>
      </c>
      <c r="C39" s="20"/>
      <c r="D39" s="20"/>
      <c r="E39" s="20"/>
      <c r="F39" s="20"/>
      <c r="G39" s="21">
        <f>SUM(G40:G64)/2</f>
        <v>24874</v>
      </c>
      <c r="H39" s="21">
        <v>22591</v>
      </c>
      <c r="I39" s="21">
        <v>2283</v>
      </c>
      <c r="J39" s="21">
        <f>SUM(J40:J64)/2</f>
        <v>0</v>
      </c>
      <c r="K39" s="21"/>
    </row>
    <row r="40" spans="1:19" s="5" customFormat="1" ht="15.75">
      <c r="A40" s="30">
        <v>1</v>
      </c>
      <c r="B40" s="46" t="s">
        <v>14</v>
      </c>
      <c r="C40" s="46"/>
      <c r="D40" s="46"/>
      <c r="E40" s="46"/>
      <c r="F40" s="46"/>
      <c r="G40" s="7">
        <f>SUM(H40:J40)</f>
        <v>3639</v>
      </c>
      <c r="H40" s="7">
        <v>3308</v>
      </c>
      <c r="I40" s="7">
        <v>331</v>
      </c>
      <c r="J40" s="7">
        <f t="shared" ref="J40" si="9">J41</f>
        <v>0</v>
      </c>
      <c r="K40" s="7"/>
      <c r="L40" s="27" t="e">
        <f>SUM(#REF!-#REF!)</f>
        <v>#REF!</v>
      </c>
      <c r="M40" s="27" t="e">
        <f>SUM(#REF!-#REF!)</f>
        <v>#REF!</v>
      </c>
      <c r="N40" s="27" t="e">
        <f>SUM(#REF!-#REF!)</f>
        <v>#REF!</v>
      </c>
      <c r="O40" s="27" t="e">
        <f>SUM(#REF!-#REF!)</f>
        <v>#REF!</v>
      </c>
      <c r="P40" s="27">
        <f t="shared" ref="P40:R40" si="10">SUM(G41-G40)</f>
        <v>0</v>
      </c>
      <c r="Q40" s="27">
        <f t="shared" si="10"/>
        <v>0</v>
      </c>
      <c r="R40" s="27">
        <f t="shared" si="10"/>
        <v>0</v>
      </c>
      <c r="S40" s="27"/>
    </row>
    <row r="41" spans="1:19" s="6" customFormat="1" ht="25.5">
      <c r="A41" s="1" t="s">
        <v>179</v>
      </c>
      <c r="B41" s="16" t="s">
        <v>77</v>
      </c>
      <c r="C41" s="17" t="s">
        <v>251</v>
      </c>
      <c r="D41" s="17" t="s">
        <v>78</v>
      </c>
      <c r="E41" s="17" t="s">
        <v>79</v>
      </c>
      <c r="F41" s="17" t="s">
        <v>45</v>
      </c>
      <c r="G41" s="13">
        <f>H41+I41+J41</f>
        <v>3639</v>
      </c>
      <c r="H41" s="8">
        <v>3308</v>
      </c>
      <c r="I41" s="8">
        <v>331</v>
      </c>
      <c r="J41" s="12"/>
      <c r="K41" s="12"/>
      <c r="L41" s="26" t="e">
        <f>G41/#REF!*100</f>
        <v>#REF!</v>
      </c>
    </row>
    <row r="42" spans="1:19" s="5" customFormat="1" ht="15.75">
      <c r="A42" s="30">
        <v>2</v>
      </c>
      <c r="B42" s="46" t="s">
        <v>24</v>
      </c>
      <c r="C42" s="46"/>
      <c r="D42" s="46"/>
      <c r="E42" s="46"/>
      <c r="F42" s="46"/>
      <c r="G42" s="7">
        <f t="shared" ref="G42:G64" si="11">H42+I42+J42</f>
        <v>3307</v>
      </c>
      <c r="H42" s="7">
        <v>3006</v>
      </c>
      <c r="I42" s="7">
        <v>301</v>
      </c>
      <c r="J42" s="7">
        <f>SUM(J43:J43)</f>
        <v>0</v>
      </c>
      <c r="K42" s="7"/>
      <c r="L42" s="27" t="e">
        <f>SUM(#REF!)-#REF!</f>
        <v>#REF!</v>
      </c>
      <c r="M42" s="27" t="e">
        <f>SUM(#REF!)-#REF!</f>
        <v>#REF!</v>
      </c>
      <c r="N42" s="27" t="e">
        <f>SUM(#REF!)-#REF!</f>
        <v>#REF!</v>
      </c>
      <c r="O42" s="27" t="e">
        <f>SUM(#REF!)-#REF!</f>
        <v>#REF!</v>
      </c>
      <c r="P42" s="27">
        <f>SUM(G43:G43)-G42</f>
        <v>0</v>
      </c>
      <c r="Q42" s="27">
        <f>SUM(H43:H43)-H42</f>
        <v>0</v>
      </c>
      <c r="R42" s="27">
        <f>SUM(I43:I43)-I42</f>
        <v>0</v>
      </c>
    </row>
    <row r="43" spans="1:19" s="6" customFormat="1" ht="25.5">
      <c r="A43" s="1" t="s">
        <v>181</v>
      </c>
      <c r="B43" s="16" t="s">
        <v>81</v>
      </c>
      <c r="C43" s="17" t="s">
        <v>251</v>
      </c>
      <c r="D43" s="17" t="s">
        <v>82</v>
      </c>
      <c r="E43" s="17" t="s">
        <v>83</v>
      </c>
      <c r="F43" s="17" t="s">
        <v>45</v>
      </c>
      <c r="G43" s="13">
        <f>H43+I43+J43</f>
        <v>3307</v>
      </c>
      <c r="H43" s="8">
        <v>3006</v>
      </c>
      <c r="I43" s="8">
        <v>301</v>
      </c>
      <c r="J43" s="12"/>
      <c r="K43" s="12"/>
      <c r="L43" s="26" t="e">
        <f>G43/#REF!*100</f>
        <v>#REF!</v>
      </c>
    </row>
    <row r="44" spans="1:19" s="5" customFormat="1" ht="15.75">
      <c r="A44" s="30">
        <v>3</v>
      </c>
      <c r="B44" s="46" t="s">
        <v>25</v>
      </c>
      <c r="C44" s="46"/>
      <c r="D44" s="46"/>
      <c r="E44" s="46"/>
      <c r="F44" s="46"/>
      <c r="G44" s="7">
        <f t="shared" si="11"/>
        <v>796</v>
      </c>
      <c r="H44" s="7">
        <v>723</v>
      </c>
      <c r="I44" s="8">
        <v>73</v>
      </c>
      <c r="J44" s="8">
        <f>SUM(J45:J45)</f>
        <v>0</v>
      </c>
      <c r="K44" s="8"/>
      <c r="L44" s="27" t="e">
        <f>SUM(#REF!)-#REF!</f>
        <v>#REF!</v>
      </c>
      <c r="M44" s="27" t="e">
        <f>SUM(#REF!)-#REF!</f>
        <v>#REF!</v>
      </c>
      <c r="N44" s="27" t="e">
        <f>SUM(#REF!)-#REF!</f>
        <v>#REF!</v>
      </c>
      <c r="O44" s="27" t="e">
        <f>SUM(#REF!)-#REF!</f>
        <v>#REF!</v>
      </c>
      <c r="P44" s="27">
        <f>SUM(G45:G45)-G44</f>
        <v>0</v>
      </c>
      <c r="Q44" s="27">
        <f>SUM(H45:H45)-H44</f>
        <v>0</v>
      </c>
      <c r="R44" s="27">
        <f>SUM(I45:I45)-I44</f>
        <v>0</v>
      </c>
      <c r="S44" s="27">
        <f>SUM(J45:J45)-J44</f>
        <v>0</v>
      </c>
    </row>
    <row r="45" spans="1:19" s="6" customFormat="1" ht="51">
      <c r="A45" s="1" t="s">
        <v>186</v>
      </c>
      <c r="B45" s="16" t="s">
        <v>86</v>
      </c>
      <c r="C45" s="17" t="s">
        <v>251</v>
      </c>
      <c r="D45" s="17" t="s">
        <v>87</v>
      </c>
      <c r="E45" s="17" t="s">
        <v>88</v>
      </c>
      <c r="F45" s="17" t="s">
        <v>45</v>
      </c>
      <c r="G45" s="13">
        <f>H45+I45+J45</f>
        <v>796</v>
      </c>
      <c r="H45" s="8">
        <v>723</v>
      </c>
      <c r="I45" s="8">
        <v>73</v>
      </c>
      <c r="J45" s="12"/>
      <c r="K45" s="12"/>
      <c r="L45" s="26" t="e">
        <f>G45/#REF!*100</f>
        <v>#REF!</v>
      </c>
    </row>
    <row r="46" spans="1:19" s="5" customFormat="1" ht="15.75">
      <c r="A46" s="30">
        <v>5</v>
      </c>
      <c r="B46" s="46" t="s">
        <v>27</v>
      </c>
      <c r="C46" s="46"/>
      <c r="D46" s="46"/>
      <c r="E46" s="46"/>
      <c r="F46" s="46"/>
      <c r="G46" s="7">
        <f>SUM(G47:G48)</f>
        <v>1372</v>
      </c>
      <c r="H46" s="7">
        <v>1230</v>
      </c>
      <c r="I46" s="7">
        <v>142</v>
      </c>
      <c r="J46" s="7">
        <f>SUM(J47:J48)</f>
        <v>0</v>
      </c>
      <c r="K46" s="7"/>
      <c r="L46" s="27" t="e">
        <f>SUM(#REF!)-#REF!</f>
        <v>#REF!</v>
      </c>
      <c r="M46" s="27" t="e">
        <f>SUM(#REF!)-#REF!</f>
        <v>#REF!</v>
      </c>
      <c r="N46" s="27" t="e">
        <f>SUM(#REF!)-#REF!</f>
        <v>#REF!</v>
      </c>
      <c r="O46" s="27" t="e">
        <f>SUM(#REF!)-#REF!</f>
        <v>#REF!</v>
      </c>
      <c r="P46" s="27">
        <f>SUM(G47:G48)-G46</f>
        <v>0</v>
      </c>
      <c r="Q46" s="27">
        <f>SUM(H47:H48)-H46</f>
        <v>0</v>
      </c>
      <c r="R46" s="27">
        <f>SUM(I47:I48)-I46</f>
        <v>0</v>
      </c>
      <c r="S46" s="27">
        <f>SUM(J47:J48)-J46</f>
        <v>0</v>
      </c>
    </row>
    <row r="47" spans="1:19" s="6" customFormat="1" ht="38.25">
      <c r="A47" s="1" t="s">
        <v>194</v>
      </c>
      <c r="B47" s="16" t="s">
        <v>255</v>
      </c>
      <c r="C47" s="17" t="s">
        <v>251</v>
      </c>
      <c r="D47" s="17" t="s">
        <v>99</v>
      </c>
      <c r="E47" s="17" t="s">
        <v>92</v>
      </c>
      <c r="F47" s="17" t="s">
        <v>45</v>
      </c>
      <c r="G47" s="13">
        <f>H47+I47+J47</f>
        <v>923</v>
      </c>
      <c r="H47" s="8">
        <v>822</v>
      </c>
      <c r="I47" s="8">
        <v>101</v>
      </c>
      <c r="J47" s="12"/>
      <c r="K47" s="12"/>
      <c r="L47" s="27" t="e">
        <f>G47/#REF!*100</f>
        <v>#REF!</v>
      </c>
      <c r="M47" s="27"/>
      <c r="N47" s="27"/>
      <c r="O47" s="27"/>
      <c r="P47" s="27"/>
      <c r="Q47" s="27"/>
      <c r="R47" s="27"/>
      <c r="S47" s="27"/>
    </row>
    <row r="48" spans="1:19" s="38" customFormat="1" ht="25.5">
      <c r="A48" s="31" t="s">
        <v>195</v>
      </c>
      <c r="B48" s="32" t="s">
        <v>94</v>
      </c>
      <c r="C48" s="33" t="s">
        <v>97</v>
      </c>
      <c r="D48" s="33" t="s">
        <v>98</v>
      </c>
      <c r="E48" s="33" t="s">
        <v>92</v>
      </c>
      <c r="F48" s="33" t="s">
        <v>45</v>
      </c>
      <c r="G48" s="35">
        <f t="shared" ref="G48" si="12">H48+I48+J48</f>
        <v>449</v>
      </c>
      <c r="H48" s="34">
        <v>408</v>
      </c>
      <c r="I48" s="34">
        <v>41</v>
      </c>
      <c r="J48" s="36"/>
      <c r="K48" s="36"/>
      <c r="L48" s="37" t="e">
        <f>G48/#REF!*100</f>
        <v>#REF!</v>
      </c>
    </row>
    <row r="49" spans="1:20" s="5" customFormat="1" ht="15.75">
      <c r="A49" s="30">
        <v>6</v>
      </c>
      <c r="B49" s="46" t="s">
        <v>29</v>
      </c>
      <c r="C49" s="46"/>
      <c r="D49" s="46"/>
      <c r="E49" s="46"/>
      <c r="F49" s="46"/>
      <c r="G49" s="7">
        <f>H49+I49+J49</f>
        <v>1565</v>
      </c>
      <c r="H49" s="7">
        <v>1422</v>
      </c>
      <c r="I49" s="7">
        <v>143</v>
      </c>
      <c r="J49" s="7">
        <f>SUM(J50:J50)</f>
        <v>0</v>
      </c>
      <c r="K49" s="7"/>
      <c r="L49" s="27" t="e">
        <f>SUM(#REF!)-#REF!</f>
        <v>#REF!</v>
      </c>
      <c r="M49" s="27" t="e">
        <f>SUM(#REF!)-#REF!</f>
        <v>#REF!</v>
      </c>
      <c r="N49" s="27" t="e">
        <f>SUM(#REF!)-#REF!</f>
        <v>#REF!</v>
      </c>
      <c r="O49" s="27" t="e">
        <f>SUM(#REF!)-#REF!</f>
        <v>#REF!</v>
      </c>
      <c r="P49" s="27">
        <f>SUM(G50:G50)-G49</f>
        <v>0</v>
      </c>
      <c r="Q49" s="27">
        <f>SUM(H50:H50)-H49</f>
        <v>0</v>
      </c>
      <c r="R49" s="27">
        <f>SUM(I50:I50)-I49</f>
        <v>0</v>
      </c>
      <c r="S49" s="27">
        <f>SUM(J50:J50)-J49</f>
        <v>0</v>
      </c>
      <c r="T49" s="27"/>
    </row>
    <row r="50" spans="1:20" s="5" customFormat="1" ht="25.5">
      <c r="A50" s="1" t="s">
        <v>198</v>
      </c>
      <c r="B50" s="16" t="s">
        <v>100</v>
      </c>
      <c r="C50" s="17" t="s">
        <v>251</v>
      </c>
      <c r="D50" s="17" t="s">
        <v>101</v>
      </c>
      <c r="E50" s="17" t="s">
        <v>102</v>
      </c>
      <c r="F50" s="17" t="s">
        <v>45</v>
      </c>
      <c r="G50" s="13">
        <f t="shared" ref="G50" si="13">H50+I50+J50</f>
        <v>1565</v>
      </c>
      <c r="H50" s="8">
        <v>1422</v>
      </c>
      <c r="I50" s="8">
        <v>143</v>
      </c>
      <c r="J50" s="12"/>
      <c r="K50" s="12"/>
      <c r="L50" s="26" t="e">
        <f>G50/#REF!*100</f>
        <v>#REF!</v>
      </c>
      <c r="M50" s="18"/>
      <c r="N50" s="18"/>
      <c r="O50" s="18"/>
      <c r="P50" s="18"/>
      <c r="Q50" s="18"/>
      <c r="R50" s="18"/>
      <c r="S50" s="18"/>
    </row>
    <row r="51" spans="1:20" s="5" customFormat="1" ht="15.75">
      <c r="A51" s="30">
        <v>7</v>
      </c>
      <c r="B51" s="46" t="s">
        <v>30</v>
      </c>
      <c r="C51" s="46"/>
      <c r="D51" s="46"/>
      <c r="E51" s="46"/>
      <c r="F51" s="46"/>
      <c r="G51" s="7">
        <f>SUM(G52:G52)</f>
        <v>363</v>
      </c>
      <c r="H51" s="7">
        <v>330</v>
      </c>
      <c r="I51" s="7">
        <v>33</v>
      </c>
      <c r="J51" s="7">
        <f>SUM(J52:J52)</f>
        <v>0</v>
      </c>
      <c r="K51" s="7"/>
      <c r="L51" s="27" t="e">
        <f>SUM(#REF!)-#REF!</f>
        <v>#REF!</v>
      </c>
      <c r="M51" s="27" t="e">
        <f>SUM(#REF!)-#REF!</f>
        <v>#REF!</v>
      </c>
      <c r="N51" s="27" t="e">
        <f>SUM(#REF!)-#REF!</f>
        <v>#REF!</v>
      </c>
      <c r="O51" s="27" t="e">
        <f>SUM(#REF!)-#REF!</f>
        <v>#REF!</v>
      </c>
      <c r="P51" s="27">
        <f>SUM(G52:G52)-G51</f>
        <v>0</v>
      </c>
      <c r="Q51" s="27">
        <f>SUM(H52:H52)-H51</f>
        <v>0</v>
      </c>
      <c r="R51" s="27">
        <f>SUM(I52:I52)-I51</f>
        <v>0</v>
      </c>
      <c r="S51" s="27">
        <f>SUM(J52:J52)-J51</f>
        <v>0</v>
      </c>
    </row>
    <row r="52" spans="1:20" s="5" customFormat="1" ht="25.5">
      <c r="A52" s="1" t="s">
        <v>202</v>
      </c>
      <c r="B52" s="16" t="s">
        <v>107</v>
      </c>
      <c r="C52" s="17" t="s">
        <v>110</v>
      </c>
      <c r="D52" s="17" t="s">
        <v>108</v>
      </c>
      <c r="E52" s="17" t="s">
        <v>109</v>
      </c>
      <c r="F52" s="17" t="s">
        <v>48</v>
      </c>
      <c r="G52" s="13">
        <f t="shared" ref="G52" si="14">H52+I52+J52</f>
        <v>363</v>
      </c>
      <c r="H52" s="8">
        <v>330</v>
      </c>
      <c r="I52" s="8">
        <v>33</v>
      </c>
      <c r="J52" s="8"/>
      <c r="K52" s="8"/>
      <c r="L52" s="26" t="e">
        <f>G52/#REF!*100</f>
        <v>#REF!</v>
      </c>
      <c r="M52" s="18"/>
      <c r="N52" s="18"/>
      <c r="O52" s="18"/>
      <c r="P52" s="18"/>
      <c r="Q52" s="18"/>
      <c r="R52" s="18"/>
      <c r="S52" s="18"/>
    </row>
    <row r="53" spans="1:20" s="5" customFormat="1" ht="15.75">
      <c r="A53" s="30">
        <v>8</v>
      </c>
      <c r="B53" s="46" t="s">
        <v>31</v>
      </c>
      <c r="C53" s="46"/>
      <c r="D53" s="46"/>
      <c r="E53" s="46"/>
      <c r="F53" s="46"/>
      <c r="G53" s="7">
        <f t="shared" si="11"/>
        <v>1793</v>
      </c>
      <c r="H53" s="7">
        <v>1630</v>
      </c>
      <c r="I53" s="7">
        <v>163</v>
      </c>
      <c r="J53" s="7">
        <f>SUM(J54:J54)</f>
        <v>0</v>
      </c>
      <c r="K53" s="7"/>
      <c r="L53" s="27" t="e">
        <f>SUM(#REF!)-#REF!</f>
        <v>#REF!</v>
      </c>
      <c r="M53" s="27" t="e">
        <f>SUM(#REF!)-#REF!</f>
        <v>#REF!</v>
      </c>
      <c r="N53" s="27" t="e">
        <f>SUM(#REF!)-#REF!</f>
        <v>#REF!</v>
      </c>
      <c r="O53" s="27" t="e">
        <f>SUM(#REF!)-#REF!</f>
        <v>#REF!</v>
      </c>
      <c r="P53" s="27">
        <f>SUM(G54:G54)-G53</f>
        <v>0</v>
      </c>
      <c r="Q53" s="27">
        <f>SUM(H54:H54)-H53</f>
        <v>0</v>
      </c>
      <c r="R53" s="27">
        <f>SUM(I54:I54)-I53</f>
        <v>0</v>
      </c>
      <c r="S53" s="27">
        <f>SUM(J54:J54)-J53</f>
        <v>0</v>
      </c>
    </row>
    <row r="54" spans="1:20" s="5" customFormat="1" ht="25.5">
      <c r="A54" s="1" t="s">
        <v>207</v>
      </c>
      <c r="B54" s="16" t="s">
        <v>111</v>
      </c>
      <c r="C54" s="17" t="s">
        <v>251</v>
      </c>
      <c r="D54" s="17" t="s">
        <v>101</v>
      </c>
      <c r="E54" s="17" t="s">
        <v>112</v>
      </c>
      <c r="F54" s="17" t="s">
        <v>45</v>
      </c>
      <c r="G54" s="13">
        <f t="shared" si="11"/>
        <v>1793</v>
      </c>
      <c r="H54" s="8">
        <v>1630</v>
      </c>
      <c r="I54" s="8">
        <v>163</v>
      </c>
      <c r="J54" s="8"/>
      <c r="K54" s="8"/>
      <c r="L54" s="26" t="e">
        <f>G54/#REF!*100</f>
        <v>#REF!</v>
      </c>
      <c r="M54" s="18"/>
      <c r="N54" s="18"/>
      <c r="O54" s="18"/>
      <c r="P54" s="18"/>
      <c r="Q54" s="18"/>
      <c r="R54" s="18"/>
      <c r="S54" s="18"/>
    </row>
    <row r="55" spans="1:20" s="5" customFormat="1" ht="15.75">
      <c r="A55" s="30">
        <v>9</v>
      </c>
      <c r="B55" s="46" t="s">
        <v>32</v>
      </c>
      <c r="C55" s="46"/>
      <c r="D55" s="46"/>
      <c r="E55" s="46"/>
      <c r="F55" s="46"/>
      <c r="G55" s="7">
        <f t="shared" si="11"/>
        <v>2268</v>
      </c>
      <c r="H55" s="7">
        <v>2061</v>
      </c>
      <c r="I55" s="7">
        <v>207</v>
      </c>
      <c r="J55" s="7">
        <f>SUM(J56:J56)</f>
        <v>0</v>
      </c>
      <c r="K55" s="7"/>
      <c r="L55" s="27" t="e">
        <f>SUM(#REF!)-#REF!</f>
        <v>#REF!</v>
      </c>
      <c r="M55" s="27" t="e">
        <f>SUM(#REF!)-#REF!</f>
        <v>#REF!</v>
      </c>
      <c r="N55" s="27" t="e">
        <f>SUM(#REF!)-#REF!</f>
        <v>#REF!</v>
      </c>
      <c r="O55" s="27" t="e">
        <f>SUM(#REF!)-#REF!</f>
        <v>#REF!</v>
      </c>
      <c r="P55" s="27">
        <f>SUM(G56:G56)-G55</f>
        <v>0</v>
      </c>
      <c r="Q55" s="27">
        <f>SUM(H56:H56)-H55</f>
        <v>0</v>
      </c>
      <c r="R55" s="27">
        <f>SUM(I56:I56)-I55</f>
        <v>0</v>
      </c>
      <c r="S55" s="27">
        <f>SUM(J56:J56)-J55</f>
        <v>0</v>
      </c>
    </row>
    <row r="56" spans="1:20" s="6" customFormat="1" ht="25.5">
      <c r="A56" s="1" t="s">
        <v>211</v>
      </c>
      <c r="B56" s="16" t="s">
        <v>118</v>
      </c>
      <c r="C56" s="17" t="s">
        <v>251</v>
      </c>
      <c r="D56" s="17" t="s">
        <v>119</v>
      </c>
      <c r="E56" s="17" t="s">
        <v>120</v>
      </c>
      <c r="F56" s="17" t="s">
        <v>45</v>
      </c>
      <c r="G56" s="13">
        <f t="shared" si="11"/>
        <v>2268</v>
      </c>
      <c r="H56" s="8">
        <v>2061</v>
      </c>
      <c r="I56" s="8">
        <v>207</v>
      </c>
      <c r="J56" s="12"/>
      <c r="K56" s="12"/>
      <c r="L56" s="26" t="e">
        <f>G56/#REF!*100</f>
        <v>#REF!</v>
      </c>
      <c r="M56" s="18"/>
      <c r="N56" s="18"/>
      <c r="O56" s="18"/>
      <c r="P56" s="18"/>
      <c r="Q56" s="18"/>
      <c r="R56" s="18"/>
      <c r="S56" s="18"/>
    </row>
    <row r="57" spans="1:20" s="5" customFormat="1" ht="15.75">
      <c r="A57" s="30">
        <v>10</v>
      </c>
      <c r="B57" s="46" t="s">
        <v>33</v>
      </c>
      <c r="C57" s="46"/>
      <c r="D57" s="46"/>
      <c r="E57" s="46"/>
      <c r="F57" s="46"/>
      <c r="G57" s="7">
        <f>SUM(G58:G58)</f>
        <v>1621</v>
      </c>
      <c r="H57" s="7">
        <v>1473</v>
      </c>
      <c r="I57" s="7">
        <v>148</v>
      </c>
      <c r="J57" s="7">
        <f>SUM(J58:J58)</f>
        <v>0</v>
      </c>
      <c r="K57" s="7"/>
      <c r="L57" s="27" t="e">
        <f>SUM(#REF!)-#REF!</f>
        <v>#REF!</v>
      </c>
      <c r="M57" s="27" t="e">
        <f>SUM(#REF!)-#REF!</f>
        <v>#REF!</v>
      </c>
      <c r="N57" s="27" t="e">
        <f>SUM(#REF!)-#REF!</f>
        <v>#REF!</v>
      </c>
      <c r="O57" s="27" t="e">
        <f>SUM(#REF!)-#REF!</f>
        <v>#REF!</v>
      </c>
      <c r="P57" s="27">
        <f>SUM(G58:G58)-G57</f>
        <v>0</v>
      </c>
      <c r="Q57" s="27">
        <f>SUM(H58:H58)-H57</f>
        <v>0</v>
      </c>
      <c r="R57" s="27">
        <f>SUM(I58:I58)-I57</f>
        <v>0</v>
      </c>
      <c r="S57" s="27">
        <f>SUM(J58:J58)-J57</f>
        <v>0</v>
      </c>
    </row>
    <row r="58" spans="1:20" s="6" customFormat="1" ht="51">
      <c r="A58" s="1" t="s">
        <v>215</v>
      </c>
      <c r="B58" s="16" t="s">
        <v>125</v>
      </c>
      <c r="C58" s="17" t="s">
        <v>251</v>
      </c>
      <c r="D58" s="17" t="s">
        <v>129</v>
      </c>
      <c r="E58" s="17" t="s">
        <v>130</v>
      </c>
      <c r="F58" s="17" t="s">
        <v>45</v>
      </c>
      <c r="G58" s="13">
        <f t="shared" ref="G58" si="15">H58+I58+J58</f>
        <v>1621</v>
      </c>
      <c r="H58" s="8">
        <v>1473</v>
      </c>
      <c r="I58" s="8">
        <v>148</v>
      </c>
      <c r="J58" s="12"/>
      <c r="K58" s="12"/>
      <c r="L58" s="26" t="e">
        <f>G58/#REF!*100</f>
        <v>#REF!</v>
      </c>
      <c r="M58" s="18"/>
      <c r="N58" s="18"/>
      <c r="O58" s="18"/>
      <c r="P58" s="18"/>
      <c r="Q58" s="18"/>
      <c r="R58" s="18"/>
      <c r="S58" s="18"/>
    </row>
    <row r="59" spans="1:20" s="5" customFormat="1" ht="15.75">
      <c r="A59" s="30">
        <v>11</v>
      </c>
      <c r="B59" s="46" t="s">
        <v>35</v>
      </c>
      <c r="C59" s="46"/>
      <c r="D59" s="46"/>
      <c r="E59" s="46"/>
      <c r="F59" s="46"/>
      <c r="G59" s="7">
        <f t="shared" si="11"/>
        <v>2857</v>
      </c>
      <c r="H59" s="7">
        <v>2597</v>
      </c>
      <c r="I59" s="7">
        <v>260</v>
      </c>
      <c r="J59" s="8">
        <f>SUM(J60:J60)</f>
        <v>0</v>
      </c>
      <c r="K59" s="8"/>
      <c r="L59" s="27" t="e">
        <f>SUM(#REF!)-#REF!</f>
        <v>#REF!</v>
      </c>
      <c r="M59" s="27" t="e">
        <f>SUM(#REF!)-#REF!</f>
        <v>#REF!</v>
      </c>
      <c r="N59" s="27" t="e">
        <f>SUM(#REF!)-#REF!</f>
        <v>#REF!</v>
      </c>
      <c r="O59" s="27" t="e">
        <f>SUM(#REF!)-#REF!</f>
        <v>#REF!</v>
      </c>
      <c r="P59" s="27">
        <f>SUM(G60:G60)-G59</f>
        <v>0</v>
      </c>
      <c r="Q59" s="27">
        <f>SUM(H60:H60)-H59</f>
        <v>0</v>
      </c>
      <c r="R59" s="27">
        <f>SUM(I60:I60)-I59</f>
        <v>0</v>
      </c>
      <c r="S59" s="27">
        <f>SUM(J60:J60)-J59</f>
        <v>0</v>
      </c>
    </row>
    <row r="60" spans="1:20" s="6" customFormat="1" ht="25.5">
      <c r="A60" s="1" t="s">
        <v>219</v>
      </c>
      <c r="B60" s="16" t="s">
        <v>134</v>
      </c>
      <c r="C60" s="17" t="s">
        <v>251</v>
      </c>
      <c r="D60" s="17" t="s">
        <v>135</v>
      </c>
      <c r="E60" s="17" t="s">
        <v>136</v>
      </c>
      <c r="F60" s="17" t="s">
        <v>62</v>
      </c>
      <c r="G60" s="13">
        <f t="shared" si="11"/>
        <v>2857</v>
      </c>
      <c r="H60" s="8">
        <v>2597</v>
      </c>
      <c r="I60" s="8">
        <v>260</v>
      </c>
      <c r="J60" s="12"/>
      <c r="K60" s="12"/>
      <c r="L60" s="26" t="e">
        <f>G60/#REF!*100</f>
        <v>#REF!</v>
      </c>
      <c r="M60" s="18"/>
      <c r="N60" s="18"/>
      <c r="O60" s="18"/>
      <c r="P60" s="18"/>
      <c r="Q60" s="18"/>
      <c r="R60" s="18"/>
      <c r="S60" s="18"/>
    </row>
    <row r="61" spans="1:20" s="5" customFormat="1" ht="15.75">
      <c r="A61" s="30">
        <v>12</v>
      </c>
      <c r="B61" s="46" t="s">
        <v>36</v>
      </c>
      <c r="C61" s="46"/>
      <c r="D61" s="46"/>
      <c r="E61" s="46"/>
      <c r="F61" s="46"/>
      <c r="G61" s="7">
        <f t="shared" si="11"/>
        <v>1633</v>
      </c>
      <c r="H61" s="7">
        <v>1484</v>
      </c>
      <c r="I61" s="7">
        <v>149</v>
      </c>
      <c r="J61" s="7">
        <f>SUM(J62:J62)</f>
        <v>0</v>
      </c>
      <c r="K61" s="7"/>
      <c r="L61" s="27" t="e">
        <f>SUM(#REF!)-#REF!</f>
        <v>#REF!</v>
      </c>
      <c r="M61" s="27" t="e">
        <f>SUM(#REF!)-#REF!</f>
        <v>#REF!</v>
      </c>
      <c r="N61" s="27" t="e">
        <f>SUM(#REF!)-#REF!</f>
        <v>#REF!</v>
      </c>
      <c r="O61" s="27" t="e">
        <f>SUM(#REF!)-#REF!</f>
        <v>#REF!</v>
      </c>
      <c r="P61" s="27">
        <f>SUM(G62:G62)-G61</f>
        <v>0</v>
      </c>
      <c r="Q61" s="27">
        <f>SUM(H62:H62)-H61</f>
        <v>0</v>
      </c>
      <c r="R61" s="27">
        <f>SUM(I62:I62)-I61</f>
        <v>0</v>
      </c>
      <c r="S61" s="27"/>
    </row>
    <row r="62" spans="1:20" s="5" customFormat="1" ht="51">
      <c r="A62" s="1" t="s">
        <v>221</v>
      </c>
      <c r="B62" s="16" t="s">
        <v>140</v>
      </c>
      <c r="C62" s="17" t="s">
        <v>251</v>
      </c>
      <c r="D62" s="17" t="s">
        <v>141</v>
      </c>
      <c r="E62" s="17" t="s">
        <v>142</v>
      </c>
      <c r="F62" s="17" t="s">
        <v>45</v>
      </c>
      <c r="G62" s="13">
        <f>H62+I62+J62</f>
        <v>1633</v>
      </c>
      <c r="H62" s="8">
        <v>1484</v>
      </c>
      <c r="I62" s="8">
        <v>149</v>
      </c>
      <c r="J62" s="12"/>
      <c r="K62" s="12"/>
      <c r="L62" s="26" t="e">
        <f>G62/#REF!*100</f>
        <v>#REF!</v>
      </c>
      <c r="M62" s="18"/>
      <c r="N62" s="18"/>
      <c r="O62" s="18"/>
      <c r="P62" s="18"/>
      <c r="Q62" s="18"/>
      <c r="R62" s="18"/>
      <c r="S62" s="18"/>
    </row>
    <row r="63" spans="1:20" s="5" customFormat="1" ht="15.75">
      <c r="A63" s="30">
        <v>13</v>
      </c>
      <c r="B63" s="46" t="s">
        <v>37</v>
      </c>
      <c r="C63" s="46"/>
      <c r="D63" s="46"/>
      <c r="E63" s="46"/>
      <c r="F63" s="46"/>
      <c r="G63" s="7">
        <f>G64</f>
        <v>3660</v>
      </c>
      <c r="H63" s="7">
        <v>3327</v>
      </c>
      <c r="I63" s="7">
        <v>333</v>
      </c>
      <c r="J63" s="7">
        <f t="shared" ref="J63" si="16">J64</f>
        <v>0</v>
      </c>
      <c r="K63" s="7"/>
      <c r="L63" s="27" t="e">
        <f>SUM(#REF!)-#REF!</f>
        <v>#REF!</v>
      </c>
      <c r="M63" s="27" t="e">
        <f>SUM(#REF!)-#REF!</f>
        <v>#REF!</v>
      </c>
      <c r="N63" s="27" t="e">
        <f>SUM(#REF!)-#REF!</f>
        <v>#REF!</v>
      </c>
      <c r="O63" s="27" t="e">
        <f>SUM(#REF!)-#REF!</f>
        <v>#REF!</v>
      </c>
      <c r="P63" s="27">
        <f t="shared" ref="P63:R63" si="17">SUM(G64)-G63</f>
        <v>0</v>
      </c>
      <c r="Q63" s="27">
        <f t="shared" si="17"/>
        <v>0</v>
      </c>
      <c r="R63" s="27">
        <f t="shared" si="17"/>
        <v>0</v>
      </c>
      <c r="S63" s="18"/>
    </row>
    <row r="64" spans="1:20" ht="25.5">
      <c r="A64" s="10" t="s">
        <v>223</v>
      </c>
      <c r="B64" s="16" t="s">
        <v>144</v>
      </c>
      <c r="C64" s="17" t="s">
        <v>251</v>
      </c>
      <c r="D64" s="17" t="s">
        <v>146</v>
      </c>
      <c r="E64" s="17" t="s">
        <v>145</v>
      </c>
      <c r="F64" s="17" t="s">
        <v>62</v>
      </c>
      <c r="G64" s="13">
        <f t="shared" si="11"/>
        <v>3660</v>
      </c>
      <c r="H64" s="8">
        <v>3327</v>
      </c>
      <c r="I64" s="8">
        <v>333</v>
      </c>
      <c r="J64" s="12"/>
      <c r="K64" s="12"/>
      <c r="L64" s="26" t="e">
        <f>G64/#REF!*100</f>
        <v>#REF!</v>
      </c>
      <c r="M64" s="18"/>
      <c r="N64" s="18"/>
      <c r="O64" s="18"/>
      <c r="P64" s="18"/>
      <c r="Q64" s="18"/>
      <c r="R64" s="18"/>
    </row>
    <row r="65" spans="1:19" s="14" customFormat="1" ht="15.75">
      <c r="A65" s="19" t="s">
        <v>8</v>
      </c>
      <c r="B65" s="20" t="s">
        <v>147</v>
      </c>
      <c r="C65" s="20"/>
      <c r="D65" s="20"/>
      <c r="E65" s="20"/>
      <c r="F65" s="20"/>
      <c r="G65" s="21">
        <f t="shared" ref="G65:J66" si="18">G66</f>
        <v>504</v>
      </c>
      <c r="H65" s="21">
        <v>458</v>
      </c>
      <c r="I65" s="21">
        <v>46</v>
      </c>
      <c r="J65" s="21">
        <f t="shared" si="18"/>
        <v>0</v>
      </c>
      <c r="K65" s="21"/>
    </row>
    <row r="66" spans="1:19" s="5" customFormat="1" ht="15.75">
      <c r="A66" s="30">
        <v>1</v>
      </c>
      <c r="B66" s="46" t="s">
        <v>38</v>
      </c>
      <c r="C66" s="46"/>
      <c r="D66" s="46"/>
      <c r="E66" s="46"/>
      <c r="F66" s="46"/>
      <c r="G66" s="7">
        <f>G67</f>
        <v>504</v>
      </c>
      <c r="H66" s="7">
        <v>458</v>
      </c>
      <c r="I66" s="7">
        <v>46</v>
      </c>
      <c r="J66" s="8">
        <f t="shared" si="18"/>
        <v>0</v>
      </c>
      <c r="K66" s="8"/>
      <c r="L66" s="27" t="e">
        <f>SUM(#REF!)-#REF!</f>
        <v>#REF!</v>
      </c>
      <c r="M66" s="27" t="e">
        <f>SUM(#REF!)-#REF!</f>
        <v>#REF!</v>
      </c>
      <c r="N66" s="27" t="e">
        <f>SUM(#REF!)-#REF!</f>
        <v>#REF!</v>
      </c>
      <c r="O66" s="27" t="e">
        <f>SUM(#REF!)-#REF!</f>
        <v>#REF!</v>
      </c>
      <c r="P66" s="27">
        <f t="shared" ref="P66:R66" si="19">SUM(G67)-G66</f>
        <v>0</v>
      </c>
      <c r="Q66" s="27">
        <f t="shared" si="19"/>
        <v>0</v>
      </c>
      <c r="R66" s="27">
        <f t="shared" si="19"/>
        <v>0</v>
      </c>
      <c r="S66" s="18"/>
    </row>
    <row r="67" spans="1:19" ht="25.5">
      <c r="A67" s="10" t="s">
        <v>179</v>
      </c>
      <c r="B67" s="16" t="s">
        <v>148</v>
      </c>
      <c r="C67" s="17" t="s">
        <v>150</v>
      </c>
      <c r="D67" s="17" t="s">
        <v>67</v>
      </c>
      <c r="E67" s="17" t="s">
        <v>149</v>
      </c>
      <c r="F67" s="17" t="s">
        <v>45</v>
      </c>
      <c r="G67" s="13">
        <f t="shared" ref="G67" si="20">H67+I67+J67</f>
        <v>504</v>
      </c>
      <c r="H67" s="8">
        <v>458</v>
      </c>
      <c r="I67" s="8">
        <v>46</v>
      </c>
      <c r="J67" s="12"/>
      <c r="K67" s="12"/>
      <c r="L67" s="26" t="e">
        <f>G67/#REF!*100</f>
        <v>#REF!</v>
      </c>
      <c r="M67" s="18"/>
      <c r="N67" s="18"/>
      <c r="O67" s="18"/>
      <c r="P67" s="18"/>
      <c r="Q67" s="18"/>
      <c r="R67" s="18"/>
    </row>
    <row r="68" spans="1:19" s="14" customFormat="1">
      <c r="A68" s="237" t="s">
        <v>162</v>
      </c>
      <c r="B68" s="237"/>
      <c r="C68" s="237"/>
      <c r="D68" s="237"/>
      <c r="E68" s="237"/>
      <c r="F68" s="237"/>
      <c r="G68" s="28">
        <f t="shared" ref="G68:J68" si="21">G69</f>
        <v>3919</v>
      </c>
      <c r="H68" s="28">
        <v>3266</v>
      </c>
      <c r="I68" s="28">
        <v>653</v>
      </c>
      <c r="J68" s="28">
        <f t="shared" si="21"/>
        <v>0</v>
      </c>
      <c r="K68" s="28"/>
    </row>
    <row r="69" spans="1:19" s="9" customFormat="1" ht="15.75">
      <c r="A69" s="245" t="s">
        <v>7</v>
      </c>
      <c r="B69" s="245"/>
      <c r="C69" s="245"/>
      <c r="D69" s="245"/>
      <c r="E69" s="245"/>
      <c r="F69" s="245"/>
      <c r="G69" s="13">
        <f>SUM(G70:G71)</f>
        <v>3919</v>
      </c>
      <c r="H69" s="13">
        <v>3266</v>
      </c>
      <c r="I69" s="13">
        <v>653</v>
      </c>
      <c r="J69" s="13">
        <f>SUM(J70:J71)</f>
        <v>0</v>
      </c>
      <c r="K69" s="13"/>
      <c r="P69" s="13"/>
      <c r="Q69" s="13">
        <v>18146</v>
      </c>
      <c r="R69" s="13">
        <v>1815</v>
      </c>
    </row>
    <row r="70" spans="1:19" ht="38.25">
      <c r="A70" s="10">
        <v>1</v>
      </c>
      <c r="B70" s="16" t="s">
        <v>163</v>
      </c>
      <c r="C70" s="17" t="s">
        <v>251</v>
      </c>
      <c r="D70" s="17" t="s">
        <v>167</v>
      </c>
      <c r="E70" s="17" t="s">
        <v>15</v>
      </c>
      <c r="F70" s="17" t="s">
        <v>45</v>
      </c>
      <c r="G70" s="13">
        <f>H70+I70+J70</f>
        <v>1802</v>
      </c>
      <c r="H70" s="8">
        <v>1501</v>
      </c>
      <c r="I70" s="8">
        <v>301</v>
      </c>
      <c r="J70" s="12"/>
      <c r="K70" s="12"/>
      <c r="L70" s="26" t="e">
        <f>G70/#REF!*100</f>
        <v>#REF!</v>
      </c>
      <c r="M70" s="18"/>
      <c r="N70" s="18"/>
      <c r="O70" s="18"/>
      <c r="P70" s="18"/>
      <c r="Q70" s="18" t="e">
        <f>#REF!-Q69</f>
        <v>#REF!</v>
      </c>
      <c r="R70" s="18" t="e">
        <f>#REF!-R69</f>
        <v>#REF!</v>
      </c>
    </row>
    <row r="71" spans="1:19" ht="38.25">
      <c r="A71" s="10">
        <v>2</v>
      </c>
      <c r="B71" s="16" t="s">
        <v>164</v>
      </c>
      <c r="C71" s="17" t="s">
        <v>251</v>
      </c>
      <c r="D71" s="17" t="s">
        <v>165</v>
      </c>
      <c r="E71" s="17" t="s">
        <v>14</v>
      </c>
      <c r="F71" s="17" t="s">
        <v>45</v>
      </c>
      <c r="G71" s="13">
        <f t="shared" ref="G71" si="22">H71+I71+J71</f>
        <v>2117</v>
      </c>
      <c r="H71" s="8">
        <v>1765</v>
      </c>
      <c r="I71" s="8">
        <v>352</v>
      </c>
      <c r="J71" s="12"/>
      <c r="K71" s="12"/>
      <c r="L71" s="26" t="e">
        <f>G71/#REF!*100</f>
        <v>#REF!</v>
      </c>
      <c r="M71" s="18"/>
      <c r="N71" s="18"/>
      <c r="O71" s="18"/>
      <c r="P71" s="18"/>
      <c r="Q71" s="18">
        <v>3266</v>
      </c>
      <c r="R71" s="18">
        <v>653</v>
      </c>
    </row>
    <row r="72" spans="1:19" s="14" customFormat="1" ht="36.950000000000003" customHeight="1">
      <c r="A72" s="237" t="s">
        <v>169</v>
      </c>
      <c r="B72" s="237"/>
      <c r="C72" s="237"/>
      <c r="D72" s="237"/>
      <c r="E72" s="237"/>
      <c r="F72" s="237"/>
      <c r="G72" s="28">
        <f>G73</f>
        <v>650</v>
      </c>
      <c r="H72" s="28">
        <f t="shared" ref="H72:J72" si="23">H73</f>
        <v>591</v>
      </c>
      <c r="I72" s="28">
        <f t="shared" si="23"/>
        <v>59</v>
      </c>
      <c r="J72" s="28">
        <f t="shared" si="23"/>
        <v>0</v>
      </c>
      <c r="K72" s="28"/>
      <c r="Q72" s="14" t="e">
        <f>#REF!/2</f>
        <v>#REF!</v>
      </c>
    </row>
    <row r="73" spans="1:19" ht="51">
      <c r="A73" s="10">
        <v>1</v>
      </c>
      <c r="B73" s="16" t="s">
        <v>258</v>
      </c>
      <c r="C73" s="17" t="s">
        <v>253</v>
      </c>
      <c r="D73" s="17" t="s">
        <v>259</v>
      </c>
      <c r="E73" s="17" t="s">
        <v>260</v>
      </c>
      <c r="F73" s="17" t="s">
        <v>62</v>
      </c>
      <c r="G73" s="13">
        <f>H73+I73+J73</f>
        <v>650</v>
      </c>
      <c r="H73" s="8">
        <v>591</v>
      </c>
      <c r="I73" s="8">
        <v>59</v>
      </c>
      <c r="J73" s="13"/>
      <c r="K73" s="12"/>
      <c r="L73" s="26"/>
      <c r="M73" s="18"/>
      <c r="N73" s="18"/>
      <c r="O73" s="18"/>
      <c r="P73" s="18"/>
      <c r="Q73" s="18"/>
      <c r="R73" s="18"/>
    </row>
    <row r="74" spans="1:19" s="14" customFormat="1" ht="34.5" customHeight="1">
      <c r="A74" s="237" t="s">
        <v>170</v>
      </c>
      <c r="B74" s="237"/>
      <c r="C74" s="237"/>
      <c r="D74" s="237"/>
      <c r="E74" s="237"/>
      <c r="F74" s="237"/>
      <c r="G74" s="28">
        <f t="shared" ref="G74:J75" si="24">G75</f>
        <v>990</v>
      </c>
      <c r="H74" s="28">
        <v>900</v>
      </c>
      <c r="I74" s="28">
        <v>90</v>
      </c>
      <c r="J74" s="28">
        <f t="shared" si="24"/>
        <v>0</v>
      </c>
      <c r="K74" s="28"/>
    </row>
    <row r="75" spans="1:19" s="9" customFormat="1" ht="32.1" customHeight="1">
      <c r="A75" s="245" t="s">
        <v>13</v>
      </c>
      <c r="B75" s="245"/>
      <c r="C75" s="245"/>
      <c r="D75" s="245"/>
      <c r="E75" s="245"/>
      <c r="F75" s="245"/>
      <c r="G75" s="13">
        <f t="shared" si="24"/>
        <v>990</v>
      </c>
      <c r="H75" s="13">
        <v>900</v>
      </c>
      <c r="I75" s="13">
        <v>90</v>
      </c>
      <c r="J75" s="13">
        <f t="shared" si="24"/>
        <v>0</v>
      </c>
      <c r="K75" s="13"/>
      <c r="P75" s="13"/>
      <c r="Q75" s="13"/>
      <c r="R75" s="13"/>
    </row>
    <row r="76" spans="1:19">
      <c r="A76" s="10">
        <v>1</v>
      </c>
      <c r="B76" s="16" t="s">
        <v>256</v>
      </c>
      <c r="C76" s="2" t="s">
        <v>178</v>
      </c>
      <c r="D76" s="17"/>
      <c r="E76" s="17"/>
      <c r="F76" s="17" t="s">
        <v>226</v>
      </c>
      <c r="G76" s="7">
        <f>H76+I76+J76</f>
        <v>990</v>
      </c>
      <c r="H76" s="8">
        <v>900</v>
      </c>
      <c r="I76" s="8">
        <v>90</v>
      </c>
      <c r="J76" s="13"/>
      <c r="K76" s="12"/>
      <c r="L76" s="26"/>
      <c r="M76" s="18"/>
      <c r="N76" s="18"/>
      <c r="O76" s="18"/>
      <c r="P76" s="18"/>
      <c r="Q76" s="18"/>
      <c r="R76" s="18"/>
    </row>
    <row r="77" spans="1:19">
      <c r="A77" s="244"/>
      <c r="B77" s="244"/>
      <c r="C77" s="244"/>
      <c r="D77" s="244"/>
      <c r="E77" s="244"/>
      <c r="F77" s="244"/>
      <c r="G77" s="244"/>
      <c r="H77" s="244"/>
      <c r="I77" s="244"/>
      <c r="J77" s="244"/>
      <c r="K77" s="244"/>
    </row>
  </sheetData>
  <autoFilter ref="A5:K77">
    <filterColumn colId="6" showButton="0"/>
    <filterColumn colId="7" showButton="0"/>
    <filterColumn colId="8" showButton="0"/>
  </autoFilter>
  <mergeCells count="29">
    <mergeCell ref="A77:K77"/>
    <mergeCell ref="A28:E28"/>
    <mergeCell ref="A68:F68"/>
    <mergeCell ref="A69:F69"/>
    <mergeCell ref="A72:F72"/>
    <mergeCell ref="A74:F74"/>
    <mergeCell ref="A75:F75"/>
    <mergeCell ref="A27:F27"/>
    <mergeCell ref="K5:K8"/>
    <mergeCell ref="M5:M8"/>
    <mergeCell ref="G6:G8"/>
    <mergeCell ref="H6:J6"/>
    <mergeCell ref="H7:H8"/>
    <mergeCell ref="I7:I8"/>
    <mergeCell ref="J7:J8"/>
    <mergeCell ref="A10:B10"/>
    <mergeCell ref="A11:F11"/>
    <mergeCell ref="A24:F24"/>
    <mergeCell ref="A1:K1"/>
    <mergeCell ref="G4:J4"/>
    <mergeCell ref="A5:A8"/>
    <mergeCell ref="B5:B8"/>
    <mergeCell ref="C5:C8"/>
    <mergeCell ref="D5:D8"/>
    <mergeCell ref="E5:E8"/>
    <mergeCell ref="F5:F8"/>
    <mergeCell ref="G5:J5"/>
    <mergeCell ref="B2:J2"/>
    <mergeCell ref="B3:J3"/>
  </mergeCells>
  <pageMargins left="0.33" right="0.2" top="0.2" bottom="0.2" header="0.2" footer="0.2"/>
  <pageSetup paperSize="9" scale="85" orientation="landscape" verticalDpi="0" r:id="rId1"/>
  <headerFooter>
    <oddFooter>&amp;CTrang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TH các dự án 2021-2025</vt:lpstr>
      <vt:lpstr>KH 2023</vt:lpstr>
      <vt:lpstr>Sheet1</vt:lpstr>
      <vt:lpstr>'KH 2023'!Print_Area</vt:lpstr>
      <vt:lpstr>'TH các dự án 2021-2025'!Print_Area</vt:lpstr>
      <vt:lpstr>'KH 2023'!Print_Titles</vt:lpstr>
      <vt:lpstr>'TH các dự án 2021-2025'!Print_Titles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ismail - [2010]</cp:lastModifiedBy>
  <cp:lastPrinted>2024-10-29T09:15:11Z</cp:lastPrinted>
  <dcterms:created xsi:type="dcterms:W3CDTF">2022-06-07T12:11:02Z</dcterms:created>
  <dcterms:modified xsi:type="dcterms:W3CDTF">2024-10-29T09:16:17Z</dcterms:modified>
</cp:coreProperties>
</file>