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425" tabRatio="732" firstSheet="1" activeTab="1"/>
  </bookViews>
  <sheets>
    <sheet name="Kangatang" sheetId="17" state="veryHidden" r:id="rId1"/>
    <sheet name="DTTS" sheetId="16" r:id="rId2"/>
  </sheets>
  <definedNames>
    <definedName name="_xlnm.Print_Area" localSheetId="1">DTTS!$A$1:$U$103</definedName>
    <definedName name="_xlnm.Print_Titles" localSheetId="1">DTTS!$4:$6</definedName>
  </definedNames>
  <calcPr calcId="124519"/>
</workbook>
</file>

<file path=xl/calcChain.xml><?xml version="1.0" encoding="utf-8"?>
<calcChain xmlns="http://schemas.openxmlformats.org/spreadsheetml/2006/main">
  <c r="H88" i="16"/>
  <c r="G88" s="1"/>
  <c r="I88"/>
  <c r="H87"/>
  <c r="G87" s="1"/>
  <c r="I87"/>
  <c r="I86"/>
  <c r="H86"/>
  <c r="J86"/>
  <c r="H84"/>
  <c r="G84" s="1"/>
  <c r="I84"/>
  <c r="I83"/>
  <c r="H83"/>
  <c r="H80"/>
  <c r="G80" s="1"/>
  <c r="I80"/>
  <c r="I79"/>
  <c r="H79"/>
  <c r="G79"/>
  <c r="I76"/>
  <c r="H76"/>
  <c r="G76" s="1"/>
  <c r="I69"/>
  <c r="H69"/>
  <c r="S73"/>
  <c r="I73"/>
  <c r="H73"/>
  <c r="G73" s="1"/>
  <c r="I72"/>
  <c r="H72"/>
  <c r="G72" s="1"/>
  <c r="I70"/>
  <c r="H70"/>
  <c r="G70"/>
  <c r="T64"/>
  <c r="T68"/>
  <c r="S64"/>
  <c r="S63"/>
  <c r="S61"/>
  <c r="T61"/>
  <c r="S62"/>
  <c r="T62"/>
  <c r="W62" s="1"/>
  <c r="T63"/>
  <c r="S65"/>
  <c r="T65"/>
  <c r="S66"/>
  <c r="T66"/>
  <c r="S67"/>
  <c r="T67"/>
  <c r="S68"/>
  <c r="S69"/>
  <c r="T69"/>
  <c r="S70"/>
  <c r="T70"/>
  <c r="S71"/>
  <c r="T71"/>
  <c r="S72"/>
  <c r="T72"/>
  <c r="W72" s="1"/>
  <c r="T73"/>
  <c r="S74"/>
  <c r="T74"/>
  <c r="S75"/>
  <c r="T75"/>
  <c r="S76"/>
  <c r="T76"/>
  <c r="S77"/>
  <c r="T77"/>
  <c r="S78"/>
  <c r="T78"/>
  <c r="S79"/>
  <c r="T79"/>
  <c r="S80"/>
  <c r="T80"/>
  <c r="S81"/>
  <c r="T81"/>
  <c r="S82"/>
  <c r="T82"/>
  <c r="S83"/>
  <c r="T83"/>
  <c r="S84"/>
  <c r="T84"/>
  <c r="S85"/>
  <c r="T85"/>
  <c r="S86"/>
  <c r="T86"/>
  <c r="S87"/>
  <c r="T87"/>
  <c r="S88"/>
  <c r="T88"/>
  <c r="T60"/>
  <c r="S60"/>
  <c r="K59"/>
  <c r="L59"/>
  <c r="M59"/>
  <c r="N59"/>
  <c r="O59"/>
  <c r="P59"/>
  <c r="Q59"/>
  <c r="J76"/>
  <c r="J80"/>
  <c r="J79"/>
  <c r="J88"/>
  <c r="J87"/>
  <c r="J73"/>
  <c r="J72"/>
  <c r="J68"/>
  <c r="I68"/>
  <c r="H68"/>
  <c r="J62"/>
  <c r="I62"/>
  <c r="H62"/>
  <c r="W61"/>
  <c r="J61"/>
  <c r="I61"/>
  <c r="H61"/>
  <c r="J84"/>
  <c r="J83"/>
  <c r="R68" l="1"/>
  <c r="R73"/>
  <c r="G83"/>
  <c r="G86"/>
  <c r="S59"/>
  <c r="T59"/>
  <c r="R80"/>
  <c r="R76"/>
  <c r="R88"/>
  <c r="R79"/>
  <c r="R87"/>
  <c r="R72"/>
  <c r="G62"/>
  <c r="G61"/>
  <c r="R62"/>
  <c r="R84"/>
  <c r="G68"/>
  <c r="R61"/>
  <c r="R83"/>
  <c r="K50" l="1"/>
  <c r="L50"/>
  <c r="M50"/>
  <c r="O50"/>
  <c r="P50"/>
  <c r="Q50"/>
  <c r="S50"/>
  <c r="T50"/>
  <c r="S91"/>
  <c r="T91"/>
  <c r="R93"/>
  <c r="R35"/>
  <c r="R36"/>
  <c r="R37"/>
  <c r="R38"/>
  <c r="R39"/>
  <c r="R41"/>
  <c r="R42"/>
  <c r="R43"/>
  <c r="R44"/>
  <c r="R45"/>
  <c r="R46"/>
  <c r="R47"/>
  <c r="R48"/>
  <c r="R49"/>
  <c r="R30"/>
  <c r="U59" l="1"/>
  <c r="R65" l="1"/>
  <c r="R66"/>
  <c r="J63"/>
  <c r="J64"/>
  <c r="J65"/>
  <c r="J66"/>
  <c r="I63"/>
  <c r="I64"/>
  <c r="I65"/>
  <c r="I66"/>
  <c r="H63"/>
  <c r="H64"/>
  <c r="G64" s="1"/>
  <c r="H65"/>
  <c r="H66"/>
  <c r="T20"/>
  <c r="S20"/>
  <c r="T21"/>
  <c r="S21"/>
  <c r="R52"/>
  <c r="R53"/>
  <c r="R54"/>
  <c r="R55"/>
  <c r="R56"/>
  <c r="R57"/>
  <c r="R58"/>
  <c r="R51"/>
  <c r="R34"/>
  <c r="H33"/>
  <c r="K33"/>
  <c r="L33"/>
  <c r="M33"/>
  <c r="O33"/>
  <c r="P33"/>
  <c r="Q33"/>
  <c r="W7"/>
  <c r="G65" l="1"/>
  <c r="G66"/>
  <c r="R50"/>
  <c r="G63"/>
  <c r="R86"/>
  <c r="R82"/>
  <c r="R78"/>
  <c r="R75"/>
  <c r="R71"/>
  <c r="R69"/>
  <c r="R85"/>
  <c r="R81"/>
  <c r="R77"/>
  <c r="R74"/>
  <c r="R70"/>
  <c r="R67"/>
  <c r="H29" l="1"/>
  <c r="I29"/>
  <c r="K29"/>
  <c r="L29"/>
  <c r="M29"/>
  <c r="N29"/>
  <c r="O29"/>
  <c r="P29"/>
  <c r="Q29"/>
  <c r="R29"/>
  <c r="S29"/>
  <c r="T29"/>
  <c r="H26"/>
  <c r="H24" s="1"/>
  <c r="K26"/>
  <c r="L26"/>
  <c r="M26"/>
  <c r="O26"/>
  <c r="P26"/>
  <c r="Q26"/>
  <c r="S26"/>
  <c r="T26"/>
  <c r="T40"/>
  <c r="T33" s="1"/>
  <c r="S40"/>
  <c r="X40"/>
  <c r="K12"/>
  <c r="K11" s="1"/>
  <c r="L12"/>
  <c r="L11" s="1"/>
  <c r="M12"/>
  <c r="M11" s="1"/>
  <c r="U12"/>
  <c r="U11" s="1"/>
  <c r="R21"/>
  <c r="N21"/>
  <c r="J21"/>
  <c r="I21"/>
  <c r="H21"/>
  <c r="U50"/>
  <c r="J71"/>
  <c r="I55"/>
  <c r="H55"/>
  <c r="J55"/>
  <c r="N51"/>
  <c r="J51"/>
  <c r="I77"/>
  <c r="H77"/>
  <c r="J77"/>
  <c r="N20"/>
  <c r="J20"/>
  <c r="I20"/>
  <c r="H20"/>
  <c r="N55"/>
  <c r="J56"/>
  <c r="Z55" s="1"/>
  <c r="Z56" s="1"/>
  <c r="Z57" s="1"/>
  <c r="I56"/>
  <c r="H56"/>
  <c r="I49"/>
  <c r="I33" s="1"/>
  <c r="R40" l="1"/>
  <c r="R33" s="1"/>
  <c r="N50"/>
  <c r="S33"/>
  <c r="S32" s="1"/>
  <c r="L24"/>
  <c r="P24"/>
  <c r="T24"/>
  <c r="M24"/>
  <c r="Q24"/>
  <c r="S24"/>
  <c r="O24"/>
  <c r="K24"/>
  <c r="G21"/>
  <c r="T32"/>
  <c r="G20"/>
  <c r="G55"/>
  <c r="AA55"/>
  <c r="AA56" s="1"/>
  <c r="G77"/>
  <c r="R20"/>
  <c r="AB56" l="1"/>
  <c r="AA57"/>
  <c r="R64" l="1"/>
  <c r="S19"/>
  <c r="R63"/>
  <c r="I60"/>
  <c r="H60"/>
  <c r="T14"/>
  <c r="S14"/>
  <c r="H75"/>
  <c r="I75"/>
  <c r="I74"/>
  <c r="H74"/>
  <c r="J75"/>
  <c r="J74"/>
  <c r="T18"/>
  <c r="S18"/>
  <c r="J18"/>
  <c r="I18"/>
  <c r="H18"/>
  <c r="G74" l="1"/>
  <c r="G60"/>
  <c r="G75"/>
  <c r="W31" l="1"/>
  <c r="W24"/>
  <c r="R92"/>
  <c r="S94"/>
  <c r="S89" s="1"/>
  <c r="T94"/>
  <c r="T89" s="1"/>
  <c r="R95" l="1"/>
  <c r="R94" s="1"/>
  <c r="J14" l="1"/>
  <c r="I14"/>
  <c r="H14"/>
  <c r="Q15"/>
  <c r="Q13"/>
  <c r="P13"/>
  <c r="O13"/>
  <c r="P15"/>
  <c r="T15" s="1"/>
  <c r="O15"/>
  <c r="S15" s="1"/>
  <c r="J85"/>
  <c r="I85"/>
  <c r="H85"/>
  <c r="V35"/>
  <c r="W35"/>
  <c r="V36"/>
  <c r="W36"/>
  <c r="V37"/>
  <c r="W37"/>
  <c r="V38"/>
  <c r="W38"/>
  <c r="V39"/>
  <c r="W39"/>
  <c r="V40"/>
  <c r="W40"/>
  <c r="V41"/>
  <c r="W41"/>
  <c r="V42"/>
  <c r="W42"/>
  <c r="V43"/>
  <c r="W43"/>
  <c r="V44"/>
  <c r="W44"/>
  <c r="V45"/>
  <c r="W45"/>
  <c r="V46"/>
  <c r="W46"/>
  <c r="V49"/>
  <c r="W49"/>
  <c r="V51"/>
  <c r="W51"/>
  <c r="V52"/>
  <c r="W52"/>
  <c r="V53"/>
  <c r="W53"/>
  <c r="V54"/>
  <c r="W54"/>
  <c r="V55"/>
  <c r="W55"/>
  <c r="V56"/>
  <c r="W56"/>
  <c r="V57"/>
  <c r="W57"/>
  <c r="V58"/>
  <c r="W58"/>
  <c r="V47"/>
  <c r="W47"/>
  <c r="V48"/>
  <c r="W48"/>
  <c r="W60"/>
  <c r="V63"/>
  <c r="W63"/>
  <c r="V64"/>
  <c r="W64"/>
  <c r="W34"/>
  <c r="V34"/>
  <c r="R91"/>
  <c r="R89" s="1"/>
  <c r="W89"/>
  <c r="P98"/>
  <c r="O98"/>
  <c r="S98" s="1"/>
  <c r="I98"/>
  <c r="H98"/>
  <c r="W96"/>
  <c r="J78"/>
  <c r="I78"/>
  <c r="H78"/>
  <c r="T17"/>
  <c r="S17"/>
  <c r="N17"/>
  <c r="J17"/>
  <c r="I17"/>
  <c r="H17"/>
  <c r="J70"/>
  <c r="J69"/>
  <c r="T19"/>
  <c r="N19"/>
  <c r="J19"/>
  <c r="I19"/>
  <c r="H19"/>
  <c r="J82"/>
  <c r="I82"/>
  <c r="H82"/>
  <c r="J81"/>
  <c r="I81"/>
  <c r="H81"/>
  <c r="T16"/>
  <c r="S16"/>
  <c r="J16"/>
  <c r="I16"/>
  <c r="H16"/>
  <c r="J67"/>
  <c r="I67"/>
  <c r="H67"/>
  <c r="H59" s="1"/>
  <c r="I59" l="1"/>
  <c r="O12"/>
  <c r="O11" s="1"/>
  <c r="Q12"/>
  <c r="Q11" s="1"/>
  <c r="T13"/>
  <c r="T12" s="1"/>
  <c r="T11" s="1"/>
  <c r="P12"/>
  <c r="P11" s="1"/>
  <c r="G82"/>
  <c r="G85"/>
  <c r="S13"/>
  <c r="S12" s="1"/>
  <c r="W90"/>
  <c r="G14"/>
  <c r="G98"/>
  <c r="G78"/>
  <c r="R17"/>
  <c r="R19"/>
  <c r="G19"/>
  <c r="G81"/>
  <c r="G16"/>
  <c r="R16"/>
  <c r="G67"/>
  <c r="Y13" l="1"/>
  <c r="S11"/>
  <c r="X13"/>
  <c r="W12"/>
  <c r="R18"/>
  <c r="R15"/>
  <c r="R14"/>
  <c r="R13"/>
  <c r="O8"/>
  <c r="P8"/>
  <c r="Q8"/>
  <c r="N16"/>
  <c r="N18"/>
  <c r="R60"/>
  <c r="R59" s="1"/>
  <c r="R12" l="1"/>
  <c r="R11" s="1"/>
  <c r="U8"/>
  <c r="W13" l="1"/>
  <c r="T8"/>
  <c r="S8"/>
  <c r="R8" l="1"/>
  <c r="W71"/>
  <c r="G71"/>
  <c r="W70"/>
  <c r="W69"/>
  <c r="G69" l="1"/>
  <c r="G59" s="1"/>
  <c r="W50" l="1"/>
  <c r="W59"/>
  <c r="V50"/>
  <c r="V59"/>
  <c r="Q32"/>
  <c r="O32"/>
  <c r="L32"/>
  <c r="P32"/>
  <c r="M32"/>
  <c r="K32"/>
  <c r="H100" l="1"/>
  <c r="I100"/>
  <c r="K100"/>
  <c r="L100"/>
  <c r="M100"/>
  <c r="N100"/>
  <c r="O100"/>
  <c r="P100"/>
  <c r="Q100"/>
  <c r="G100"/>
  <c r="K97"/>
  <c r="L97"/>
  <c r="M97"/>
  <c r="O97"/>
  <c r="P97"/>
  <c r="Q97"/>
  <c r="S97"/>
  <c r="S101" s="1"/>
  <c r="N98"/>
  <c r="N97" s="1"/>
  <c r="J98"/>
  <c r="I97"/>
  <c r="H97"/>
  <c r="H96" s="1"/>
  <c r="N96" l="1"/>
  <c r="I96"/>
  <c r="Q96"/>
  <c r="J97"/>
  <c r="Y97"/>
  <c r="Y98" s="1"/>
  <c r="X97"/>
  <c r="X98" s="1"/>
  <c r="S100"/>
  <c r="P96"/>
  <c r="O96"/>
  <c r="L96"/>
  <c r="S96"/>
  <c r="M96"/>
  <c r="K96"/>
  <c r="G97"/>
  <c r="G96" s="1"/>
  <c r="Z98" l="1"/>
  <c r="R98"/>
  <c r="R97" s="1"/>
  <c r="T97"/>
  <c r="Y95"/>
  <c r="Y93"/>
  <c r="Y92"/>
  <c r="J101"/>
  <c r="J100" s="1"/>
  <c r="J96" s="1"/>
  <c r="T101" l="1"/>
  <c r="Y49"/>
  <c r="T100" l="1"/>
  <c r="T96" s="1"/>
  <c r="R101"/>
  <c r="R100" s="1"/>
  <c r="R96" s="1"/>
  <c r="W97" s="1"/>
  <c r="W101"/>
  <c r="J60"/>
  <c r="J59" s="1"/>
  <c r="Y58" l="1"/>
  <c r="Y57"/>
  <c r="Y54"/>
  <c r="Y53"/>
  <c r="Y52"/>
  <c r="Y48"/>
  <c r="Y46"/>
  <c r="Y45"/>
  <c r="Y44"/>
  <c r="Y43"/>
  <c r="Y41"/>
  <c r="Y38"/>
  <c r="Y37"/>
  <c r="Y36"/>
  <c r="Y47"/>
  <c r="Y35"/>
  <c r="Y34"/>
  <c r="R28"/>
  <c r="R27"/>
  <c r="R26" l="1"/>
  <c r="R24" s="1"/>
  <c r="G29"/>
  <c r="J29"/>
  <c r="N14" l="1"/>
  <c r="G18" l="1"/>
  <c r="L8" l="1"/>
  <c r="M8"/>
  <c r="K8"/>
  <c r="G17"/>
  <c r="G93" l="1"/>
  <c r="H94"/>
  <c r="I94"/>
  <c r="K94"/>
  <c r="L94"/>
  <c r="M94"/>
  <c r="N94"/>
  <c r="O94"/>
  <c r="P94"/>
  <c r="J95"/>
  <c r="J94" s="1"/>
  <c r="G95"/>
  <c r="G94" s="1"/>
  <c r="N28"/>
  <c r="J28"/>
  <c r="G28"/>
  <c r="G26" s="1"/>
  <c r="G24" s="1"/>
  <c r="X55" l="1"/>
  <c r="X56" l="1"/>
  <c r="G56"/>
  <c r="J53"/>
  <c r="I53"/>
  <c r="H53"/>
  <c r="N15"/>
  <c r="X53" l="1"/>
  <c r="J15"/>
  <c r="H15"/>
  <c r="G53"/>
  <c r="I15"/>
  <c r="G15" l="1"/>
  <c r="J57" l="1"/>
  <c r="I57"/>
  <c r="H57"/>
  <c r="X57" l="1"/>
  <c r="J58"/>
  <c r="G57"/>
  <c r="H13"/>
  <c r="H12" s="1"/>
  <c r="H11" s="1"/>
  <c r="I13"/>
  <c r="I12" s="1"/>
  <c r="I11" s="1"/>
  <c r="J13"/>
  <c r="J12" s="1"/>
  <c r="J11" s="1"/>
  <c r="I8" l="1"/>
  <c r="H8"/>
  <c r="J8"/>
  <c r="G13"/>
  <c r="G12" s="1"/>
  <c r="G11" s="1"/>
  <c r="G8" l="1"/>
  <c r="J54"/>
  <c r="I54"/>
  <c r="H54"/>
  <c r="X58"/>
  <c r="I58"/>
  <c r="H58"/>
  <c r="J52"/>
  <c r="J50" s="1"/>
  <c r="I52"/>
  <c r="H52"/>
  <c r="I51"/>
  <c r="H51"/>
  <c r="H50" s="1"/>
  <c r="I50" l="1"/>
  <c r="I32" s="1"/>
  <c r="H32"/>
  <c r="X54"/>
  <c r="X52"/>
  <c r="G52"/>
  <c r="G54"/>
  <c r="G51"/>
  <c r="G58"/>
  <c r="G50" l="1"/>
  <c r="X51"/>
  <c r="N13"/>
  <c r="N12" s="1"/>
  <c r="N11" s="1"/>
  <c r="N8" l="1"/>
  <c r="S102"/>
  <c r="K102"/>
  <c r="L102"/>
  <c r="M102"/>
  <c r="O102"/>
  <c r="P102"/>
  <c r="Q102"/>
  <c r="N103"/>
  <c r="N102" s="1"/>
  <c r="J103"/>
  <c r="J102" s="1"/>
  <c r="I102"/>
  <c r="U96"/>
  <c r="K91"/>
  <c r="K89" s="1"/>
  <c r="L91"/>
  <c r="L89" s="1"/>
  <c r="M91"/>
  <c r="M89" s="1"/>
  <c r="O91"/>
  <c r="O89" s="1"/>
  <c r="P91"/>
  <c r="P89" s="1"/>
  <c r="Q91"/>
  <c r="Q89" s="1"/>
  <c r="J93"/>
  <c r="N93"/>
  <c r="N92"/>
  <c r="J92"/>
  <c r="U32"/>
  <c r="O31"/>
  <c r="N35"/>
  <c r="N47"/>
  <c r="N36"/>
  <c r="N37"/>
  <c r="N38"/>
  <c r="N39"/>
  <c r="N40"/>
  <c r="N41"/>
  <c r="N42"/>
  <c r="N43"/>
  <c r="N44"/>
  <c r="N45"/>
  <c r="N46"/>
  <c r="N48"/>
  <c r="N49"/>
  <c r="J47"/>
  <c r="J35"/>
  <c r="N34"/>
  <c r="J34"/>
  <c r="J37"/>
  <c r="J36"/>
  <c r="O7" l="1"/>
  <c r="N33"/>
  <c r="X36"/>
  <c r="X37"/>
  <c r="X47"/>
  <c r="W93"/>
  <c r="X93" s="1"/>
  <c r="M31"/>
  <c r="M7" s="1"/>
  <c r="Q31"/>
  <c r="Q7" s="1"/>
  <c r="L31"/>
  <c r="L7" s="1"/>
  <c r="J91"/>
  <c r="J89" s="1"/>
  <c r="P31"/>
  <c r="P7" s="1"/>
  <c r="K31"/>
  <c r="K7" s="1"/>
  <c r="W103"/>
  <c r="X103" s="1"/>
  <c r="T102"/>
  <c r="G103"/>
  <c r="G102" s="1"/>
  <c r="H102"/>
  <c r="H91"/>
  <c r="H89" s="1"/>
  <c r="N91"/>
  <c r="N89" s="1"/>
  <c r="I91"/>
  <c r="I89" s="1"/>
  <c r="X35"/>
  <c r="G92"/>
  <c r="W92"/>
  <c r="X92" s="1"/>
  <c r="X34"/>
  <c r="N32" l="1"/>
  <c r="N31" s="1"/>
  <c r="X90"/>
  <c r="Y90"/>
  <c r="R102"/>
  <c r="T31"/>
  <c r="S31"/>
  <c r="H31"/>
  <c r="H7" s="1"/>
  <c r="I31"/>
  <c r="G91"/>
  <c r="G89" s="1"/>
  <c r="X32" l="1"/>
  <c r="S7"/>
  <c r="X8" s="1"/>
  <c r="Y32"/>
  <c r="T7"/>
  <c r="Y8" s="1"/>
  <c r="J41"/>
  <c r="X41" s="1"/>
  <c r="J40"/>
  <c r="J39"/>
  <c r="J38"/>
  <c r="J49"/>
  <c r="J48"/>
  <c r="J46"/>
  <c r="J45"/>
  <c r="J44"/>
  <c r="J43"/>
  <c r="J42"/>
  <c r="X9" l="1"/>
  <c r="Y9"/>
  <c r="J33"/>
  <c r="Z39"/>
  <c r="Z40" s="1"/>
  <c r="Y39"/>
  <c r="Y40" s="1"/>
  <c r="AB46"/>
  <c r="AB49" s="1"/>
  <c r="AA46"/>
  <c r="AA49" s="1"/>
  <c r="X44"/>
  <c r="X48"/>
  <c r="X43"/>
  <c r="X45"/>
  <c r="X46"/>
  <c r="X49"/>
  <c r="X39"/>
  <c r="AA40" l="1"/>
  <c r="AC49"/>
  <c r="X42"/>
  <c r="R32"/>
  <c r="R31" s="1"/>
  <c r="W32" s="1"/>
  <c r="J32"/>
  <c r="J31" s="1"/>
  <c r="X38"/>
  <c r="U30"/>
  <c r="U29" s="1"/>
  <c r="Y25"/>
  <c r="N27"/>
  <c r="N26" s="1"/>
  <c r="N24" s="1"/>
  <c r="N7" s="1"/>
  <c r="J27"/>
  <c r="J26" s="1"/>
  <c r="J24" s="1"/>
  <c r="I27"/>
  <c r="I26" s="1"/>
  <c r="I24" s="1"/>
  <c r="I7" s="1"/>
  <c r="J7" l="1"/>
  <c r="R7"/>
  <c r="W8" s="1"/>
  <c r="X25"/>
  <c r="W9" l="1"/>
  <c r="W25"/>
  <c r="G34" l="1"/>
  <c r="G42"/>
  <c r="G44"/>
  <c r="G47"/>
  <c r="G35"/>
  <c r="G36"/>
  <c r="G37"/>
  <c r="G41"/>
  <c r="G48"/>
  <c r="G45"/>
  <c r="G38"/>
  <c r="G43"/>
  <c r="G46"/>
  <c r="G39"/>
  <c r="G40"/>
  <c r="G49"/>
  <c r="G33" l="1"/>
  <c r="G32" s="1"/>
  <c r="G31" s="1"/>
  <c r="G7" s="1"/>
</calcChain>
</file>

<file path=xl/sharedStrings.xml><?xml version="1.0" encoding="utf-8"?>
<sst xmlns="http://schemas.openxmlformats.org/spreadsheetml/2006/main" count="439" uniqueCount="236">
  <si>
    <t>I</t>
  </si>
  <si>
    <t>II</t>
  </si>
  <si>
    <t>III</t>
  </si>
  <si>
    <t>Tiểu Dự án 1: Đầu tư cơ sở hạ tầng thiết yếu, phục vụ sản xuất, đời sống trong vùng đồng bào DTTS và MN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</si>
  <si>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</si>
  <si>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</si>
  <si>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</si>
  <si>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</si>
  <si>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</si>
  <si>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Đvt: triệu đồng</t>
  </si>
  <si>
    <t>TT</t>
  </si>
  <si>
    <t>Danh mục công trình</t>
  </si>
  <si>
    <t>Địa điểm xây dựng</t>
  </si>
  <si>
    <t>Thời gian KC-HT</t>
  </si>
  <si>
    <t>Tổng mức đầu tư</t>
  </si>
  <si>
    <t>Kế hoạch vốn trung hạn
 giai đoạn 2021-2025</t>
  </si>
  <si>
    <t>Tổng số (tất cả các nguồn vốn)</t>
  </si>
  <si>
    <t xml:space="preserve">Trong đó: </t>
  </si>
  <si>
    <t>Tổng số</t>
  </si>
  <si>
    <t>Trong đó:</t>
  </si>
  <si>
    <t xml:space="preserve">NSTW </t>
  </si>
  <si>
    <t>NSĐP</t>
  </si>
  <si>
    <t>DỰ ÁN 1: Giải quyết tình trạng thiếu đất ở, nhà ở, đất sản xuất, nước sinh hoạt</t>
  </si>
  <si>
    <t>Trả nợ công trình hoàn thành năm 2022</t>
  </si>
  <si>
    <t>A</t>
  </si>
  <si>
    <t>Công trình chuyển tiếp sang năm 2023</t>
  </si>
  <si>
    <t>B</t>
  </si>
  <si>
    <t>xã Ba Dinh</t>
  </si>
  <si>
    <t>Xã Ba Điền</t>
  </si>
  <si>
    <t>Xã Ba Xa</t>
  </si>
  <si>
    <t>2022-2023</t>
  </si>
  <si>
    <t>Khu tái định cư tập trung tại thôn Trà Nô, xã Ba Tô</t>
  </si>
  <si>
    <t>BQL DAĐTXD&amp;PTQĐ</t>
  </si>
  <si>
    <t>xã Ba Tô</t>
  </si>
  <si>
    <t>2022-2024</t>
  </si>
  <si>
    <t>xã Ba Trang</t>
  </si>
  <si>
    <t>C</t>
  </si>
  <si>
    <t>Trường TH&amp;THCS Ba Vinh; hạng mục khối phòng học tập</t>
  </si>
  <si>
    <t>Trường Mầm non Ba Thành, hạng mục:  02 phòng học</t>
  </si>
  <si>
    <t>Cầu BTCT tuyến đường UBND xã đi Gò Lút</t>
  </si>
  <si>
    <t>TT Ba Tơ</t>
  </si>
  <si>
    <t>Xã Ba Trang</t>
  </si>
  <si>
    <t>Đường BTXM thôn Bùi Hui (thảo nguyên Bùi Hui)</t>
  </si>
  <si>
    <t>Nâng cấp tuyến đường UBND xã đi Nước Giáp</t>
  </si>
  <si>
    <t>Trường TH&amp;THCS Ba Liên; hạng mục: 04 phòng học</t>
  </si>
  <si>
    <t>Nhà văn hóa thôn Làng Tương</t>
  </si>
  <si>
    <t>Trường TH&amp;THCS Ba Nam; hạng mục: 08 phòng học</t>
  </si>
  <si>
    <t>Tường rào, cổng ngõ, sân vườn Nhà văn hóa thôn Vã Lế, Đồng Lâu</t>
  </si>
  <si>
    <t>Trường TH&amp;THCS Ba Bích; hạng mục: 08 phòng học</t>
  </si>
  <si>
    <t>Cầu BTCT Làng Chai</t>
  </si>
  <si>
    <t>Trường Tiểu học Ba Dinh, hạng mục: 02 phòng học tập, 04 phòng hỗ trợ học tập</t>
  </si>
  <si>
    <t xml:space="preserve">Trường Tiểu học Ba Xa, hạng mục: 04 phòng học, 02 phòng hỗ trợ học tập </t>
  </si>
  <si>
    <t>Đường QL 24 đi Gò Pa Nu</t>
  </si>
  <si>
    <t>Nối tiếp kênh Vả Rò, thôn Nước Xuyên</t>
  </si>
  <si>
    <t>UBND TT Ba Tơ</t>
  </si>
  <si>
    <t>UBND xã Ba  Điền</t>
  </si>
  <si>
    <t>UBND xã Ba Lế</t>
  </si>
  <si>
    <t>UBND xã Ba Vì</t>
  </si>
  <si>
    <t>xã Ba Vinh</t>
  </si>
  <si>
    <t>xã Ba Thành</t>
  </si>
  <si>
    <t>xã Ba Giang</t>
  </si>
  <si>
    <t>xã Ba Khâm</t>
  </si>
  <si>
    <t>xã Ba Liên</t>
  </si>
  <si>
    <t>xã Ba Điền</t>
  </si>
  <si>
    <t>xã Ba Nam</t>
  </si>
  <si>
    <t>xã Ba Lế</t>
  </si>
  <si>
    <t>xã Ba Bích</t>
  </si>
  <si>
    <t>xã Ba Ngạc</t>
  </si>
  <si>
    <t>xã Ba Xa</t>
  </si>
  <si>
    <t>xã Ba Tiêu</t>
  </si>
  <si>
    <t>Trường Mầm non Ba  Điền, hạng mục:  01 phòng học, tường rào, cổng ngõ, sân vườn, nhà vệ sịnh</t>
  </si>
  <si>
    <t>Thôn Nước Xuyên, xã Ba Vì</t>
  </si>
  <si>
    <t>D</t>
  </si>
  <si>
    <t>Trường PTDT nội trú THCS Ba Tơ; hạng mục: Phòng học tập và các công trình phụ trợ</t>
  </si>
  <si>
    <t>Trường PTDT bán trú TH&amp;THCS Ba Trang; hạng mục: Phòng học tập và các công trình phụ trợ</t>
  </si>
  <si>
    <t>E</t>
  </si>
  <si>
    <t>Hỗ trợ đầu tư xây dựng thiết chế văn hóa thể thao tại các thôn thuộc vùng ĐBDTTS huyện Ba Tơ</t>
  </si>
  <si>
    <t>F</t>
  </si>
  <si>
    <t>2023-2024</t>
  </si>
  <si>
    <t>Nhà văn hóa thôn Hy Long</t>
  </si>
  <si>
    <t>Cầu BTCT tuyến đường UBND xã đi thôn Làng Rêu</t>
  </si>
  <si>
    <t xml:space="preserve"> xã Ba Điền</t>
  </si>
  <si>
    <t>Đường BTXM từ Trường TH&amp;THCS xã đến Nhà văn hóa thôn Hương Chiên</t>
  </si>
  <si>
    <t>Nối tiếp BTXM Gòi Xuyên đi Nước Xuyên</t>
  </si>
  <si>
    <t>UBND xã Ba Liên</t>
  </si>
  <si>
    <t>Xã Ba Liên</t>
  </si>
  <si>
    <t>UBND xã Ba Điền</t>
  </si>
  <si>
    <t>NS tỉnh</t>
  </si>
  <si>
    <t>NS huyện</t>
  </si>
  <si>
    <t>Cầu BTCT tuyến đường UBND xã đi ngã 3 Nước Gia</t>
  </si>
  <si>
    <t>Trường TH&amp;THCS Ba Điền</t>
  </si>
  <si>
    <t>Ba Vì</t>
  </si>
  <si>
    <t>Nâng cấp, mở rộng tuyến đường QL 24 đi Hồ Núi Ngang</t>
  </si>
  <si>
    <t>Trường Mầm non Ba Lế</t>
  </si>
  <si>
    <t>Chủ đầu tư</t>
  </si>
  <si>
    <t>Quy mô dự kiến</t>
  </si>
  <si>
    <t>04 hộ</t>
  </si>
  <si>
    <t>26 hộ</t>
  </si>
  <si>
    <t>06 phòng: Âm nhạc, mỹ thuật, công nghệ, khoa học tự nhiên, tin học, ngoại ngữ</t>
  </si>
  <si>
    <t>02 phòng học</t>
  </si>
  <si>
    <t>Cầu BTCT</t>
  </si>
  <si>
    <t>7,5km</t>
  </si>
  <si>
    <t>5,5km</t>
  </si>
  <si>
    <t>04 phòng (02 phòng học,  01 phòng ngoại ngữ, 01 phòng tin học); công trình phụ trợ</t>
  </si>
  <si>
    <t>01 phòng học, tường rào, cổng ngõ, sân vườn, nhà vệ sinh</t>
  </si>
  <si>
    <t>Nhà cấp III, đảm bảo &gt;100 chỗ ngồi</t>
  </si>
  <si>
    <t>08 phòng; công trình phụ trợ</t>
  </si>
  <si>
    <t>Tường rào, cổng ngõ, sân vườn</t>
  </si>
  <si>
    <t>03 phòng học và công trình phụ trợ</t>
  </si>
  <si>
    <t>Giao thông cấp IV</t>
  </si>
  <si>
    <t>Cầu BTCT gồm 03 nhịp 
dài khoảng 45m</t>
  </si>
  <si>
    <t xml:space="preserve"> 02 phòng họ, 04
 phòng hỗ trợ học tập (âm nhạc, mỹ thuật, khoa học công nghệ, thiết bị giáo dục)</t>
  </si>
  <si>
    <t>Dân dụng cấp III; 06 phòng, 02 tầng (04 phòng học, 02 phòng hỗ trợ học tập: Ngoại ngữ, tin học)</t>
  </si>
  <si>
    <t>6,5km</t>
  </si>
  <si>
    <t>0,9km</t>
  </si>
  <si>
    <t>247m</t>
  </si>
  <si>
    <t>GTNT loại B, 570m</t>
  </si>
  <si>
    <t>Giao thông nông thôn cấp A  L=3750m</t>
  </si>
  <si>
    <t>05 phòng hỗ trợ học tập, nhà bảo vệ,  hạng mục khác</t>
  </si>
  <si>
    <t>04 phòng ở nội trú, 01 nhà ăn, bếp; 04 phòng học và hỗ trợ học tập</t>
  </si>
  <si>
    <t>04 phòng ở bán trú, 01 nhà ăn, bếp; 06 phòng hoc và hỗ trợ học tập; 02 nhà vệ sinh</t>
  </si>
  <si>
    <t>13 thôn</t>
  </si>
  <si>
    <t>Khu tái định cư tập trung tổ 4 thôn Nước Lăng xã Ba Xa</t>
  </si>
  <si>
    <t>25 hộ</t>
  </si>
  <si>
    <t>2023-2025</t>
  </si>
  <si>
    <t>Lũy kế vốn bố trí đến hết năm 2023</t>
  </si>
  <si>
    <t>Kế hoạch vốn năm 2024</t>
  </si>
  <si>
    <t>Công trình chuyển tiếp sang năm 2024</t>
  </si>
  <si>
    <t>Công trình khởi công mới năm 2024</t>
  </si>
  <si>
    <t>Trường PTDT bán trú THCS Ba Xa; hạng mục: Phòng học tập và các công trình phụ trợ</t>
  </si>
  <si>
    <t>5 phòng ở bán trú, 01 nhà ăn, bếp; 06 phòng hoc và hỗ trợ học tập; 02 nhà vệ sinh</t>
  </si>
  <si>
    <t>UBND thị trấn Ba Tơ</t>
  </si>
  <si>
    <t>Thị trấn Ba Tơ</t>
  </si>
  <si>
    <t>2024-2025</t>
  </si>
  <si>
    <t>UBND xã Ba Khâm</t>
  </si>
  <si>
    <t>UBND xã Ba Thành</t>
  </si>
  <si>
    <t>10 hộ</t>
  </si>
  <si>
    <t>UBND xã Ba Nam</t>
  </si>
  <si>
    <t>UBND xã Ba Bích</t>
  </si>
  <si>
    <t>UBND xã Ba Tô</t>
  </si>
  <si>
    <t>UBND xã Ba Dinh</t>
  </si>
  <si>
    <t>UBND xã Ba Giang</t>
  </si>
  <si>
    <t>UBND xã Ba Ngạc</t>
  </si>
  <si>
    <t>III.1</t>
  </si>
  <si>
    <t>Hỗ trợ nhà ở</t>
  </si>
  <si>
    <t>III.2</t>
  </si>
  <si>
    <t>Hỗ trợ đất ở</t>
  </si>
  <si>
    <t>III.3</t>
  </si>
  <si>
    <t>Hỗ trợ đất sản xuất</t>
  </si>
  <si>
    <t>Công trình chuyển tiếp năm 2023 sang năm 2024</t>
  </si>
  <si>
    <t>IV</t>
  </si>
  <si>
    <t xml:space="preserve">KẾ HOẠCH VỐN ĐẦU TƯ CÔNG NĂM 2024 
THỰC HIỆN CHƯƠNG TRÌNH MỤC TIÊU QUỐC GIA 
PHÁT TRIỂN KINH TẾ XÃ HỘI VÙNG ĐỒNG BÀO  DÂN TỘC THIỂU SỐ VÀ MIỀN NÚI
</t>
  </si>
  <si>
    <t>42 hộ</t>
  </si>
  <si>
    <t>Hỗ trợ đầu tư điểm đến du lịch tiêu biểu làng Bùi Hui (Thảo nguyên Bùi Hui)</t>
  </si>
  <si>
    <t xml:space="preserve">Phòng KT&amp;HT </t>
  </si>
  <si>
    <t>Giải quyết nhà vệ sinh lưu động, lắp đặt bản chỉ dẫn, xâydựng trang thông tin</t>
  </si>
  <si>
    <t>Nâng cấp, mở rộng tuyến đường thị trấn Ba Tơ - Ba Dinh</t>
  </si>
  <si>
    <t>4,2km</t>
  </si>
  <si>
    <t>Nâng cấp tuyến đường Mang Krá - Gòi Re</t>
  </si>
  <si>
    <t>4,5km</t>
  </si>
  <si>
    <t>Nhà văn hóa thôn Ba Nhà</t>
  </si>
  <si>
    <t>Tối thiểu 100 chỗ ngồi</t>
  </si>
  <si>
    <t>Nối tiếp BTXM Nước Lô - Gò Khôn</t>
  </si>
  <si>
    <t>248m</t>
  </si>
  <si>
    <t>Nâng cấp và BTXM đường GTNT tuyến từ Tổ 1 Nước Lang( Đồng Xa) - Tổ 3 Kách Lang</t>
  </si>
  <si>
    <t>1,5km</t>
  </si>
  <si>
    <t>Nâng cấp, mở rộng tuyến đường Ba Lăng - Tà Noát</t>
  </si>
  <si>
    <t>1,6km</t>
  </si>
  <si>
    <t>Đường BTXM từ cầu treo - Làng Chai 2(Làng Xi 2)</t>
  </si>
  <si>
    <t>800m</t>
  </si>
  <si>
    <t>Trả nợ công trình hoàn thành năm 2023</t>
  </si>
  <si>
    <t>7 hộ</t>
  </si>
  <si>
    <t>BTXM  nối tiếp UBND Xã đi Làng Vờ</t>
  </si>
  <si>
    <t>0,7km</t>
  </si>
  <si>
    <t>7  hộ</t>
  </si>
  <si>
    <t>20 hộ</t>
  </si>
  <si>
    <t>Hỗ trợ nhà ở (07 hộ)</t>
  </si>
  <si>
    <t>BTXM tuyến đường từ ngã ba Hành Tín Tây đến nhà bà Nguyệt</t>
  </si>
  <si>
    <t>500m</t>
  </si>
  <si>
    <t>BTXM tuyến đường trường Tiểu học đến nhà bà tám Thu</t>
  </si>
  <si>
    <t>L=0,7km</t>
  </si>
  <si>
    <t>54hộ</t>
  </si>
  <si>
    <t>30 hộ</t>
  </si>
  <si>
    <t>13 thôn thuộc
 vùng ĐBDTTS trên địa bàn huyện</t>
  </si>
  <si>
    <t xml:space="preserve">Nối tiếp BTXM trường Mầm non Hố Sâu - Gò Rốc </t>
  </si>
  <si>
    <t>50 hộ</t>
  </si>
  <si>
    <t>Hỗ trợ nhà ở (42 hộ)</t>
  </si>
  <si>
    <t>12 hộ</t>
  </si>
  <si>
    <t>Hỗ trợ nhà ở (04 hộ)</t>
  </si>
  <si>
    <t>Phòng VH&amp;TT</t>
  </si>
  <si>
    <t>Tiểu dự án 2: Ứng dụng công nghệ thông tin hỗ trợ phát triển kinh tế - xã hội và đảm bảo an ninh trật tự vùng đồng bào dân tộc thiểu số và miền núi (Chưa phân bổ)</t>
  </si>
  <si>
    <t>Hỗ trợ nhà ở (30 hộ)</t>
  </si>
  <si>
    <t>Hỗ trợ nhà ở (29 hộ)</t>
  </si>
  <si>
    <t>29 hộ</t>
  </si>
  <si>
    <t>Nối tiếp BTXM đường GTNT tuyến từ Tổ 3 - Tổ 4 Kách Lang</t>
  </si>
  <si>
    <t>1,4 km</t>
  </si>
  <si>
    <t>BTXM đường từ nhà ông Thôn đến nhà ông Láng</t>
  </si>
  <si>
    <t>319m</t>
  </si>
  <si>
    <t>27 hộ</t>
  </si>
  <si>
    <t>13 hộ</t>
  </si>
  <si>
    <t>Hỗ trợ nhà ở (13 hộ)</t>
  </si>
  <si>
    <t>TỔNG CỘNG (A+B+C+D+E+F)</t>
  </si>
  <si>
    <t>Nhà văn hóa thôn Đồng Vào</t>
  </si>
  <si>
    <t>Hỗ trợ nhà ở (09 hộ)</t>
  </si>
  <si>
    <t>9 hô</t>
  </si>
  <si>
    <t xml:space="preserve">BTXM đi xóm Ông Bin thôn Làng Tốt </t>
  </si>
  <si>
    <t xml:space="preserve"> Xây dựng đường bê tông nhà Ông Lúi đi trường Mầm Non </t>
  </si>
  <si>
    <t>Nối tiếp tuyến đường BTXM từ nghĩa địa đi cánh đồng Đồng Nghệ</t>
  </si>
  <si>
    <t>Chưa phân bổ, trình phân bổ khi đủ điều kiện</t>
  </si>
  <si>
    <t>BTXM tuyến đường nhà ông Bốn đến dốc Quýt</t>
  </si>
  <si>
    <t>Nối tiếp KCH kênh ruộng Y Nâu</t>
  </si>
  <si>
    <t>320m</t>
  </si>
  <si>
    <t>KCH kênh đồng Mang Tinh</t>
  </si>
  <si>
    <t>300m</t>
  </si>
  <si>
    <t>Nối tiếp BTXM đường đi Thác Lệ Trinh</t>
  </si>
  <si>
    <t>835m</t>
  </si>
  <si>
    <t>BTXM  nối tiếp UBND Xã đi Mang Tương</t>
  </si>
  <si>
    <t>BTXM  ngã ba nhà Ông Gây đi nhà Ông Kéo</t>
  </si>
  <si>
    <t>440m</t>
  </si>
  <si>
    <t>Đập và kênh Nước Cốp</t>
  </si>
  <si>
    <t>Đập dài 15m, kênh dài 300m</t>
  </si>
  <si>
    <t>Tường rào, cổng ngõ Nhà văn hóa thôn Nước Đang, Con Rã</t>
  </si>
  <si>
    <t>Tường rào, cổng ngõ</t>
  </si>
  <si>
    <t>Đập và kênh Nước Bum thôn Nước Đang</t>
  </si>
  <si>
    <t>Đập và kênh</t>
  </si>
  <si>
    <t>Đường BTXM đi Làng Danh (Làng Mạ)</t>
  </si>
  <si>
    <t>Đường BTXM đi xóm Nước Đi (Làng Mạ)</t>
  </si>
  <si>
    <t>L=650m;</t>
  </si>
  <si>
    <t xml:space="preserve">L=800m; </t>
  </si>
  <si>
    <t>Kiên cố hóa kênh Ma Mang 1, 2 thôn Làng Măng</t>
  </si>
  <si>
    <t>0,3km</t>
  </si>
  <si>
    <t>chưa đủ định mức</t>
  </si>
  <si>
    <t>Trả nợ công trình hoàn thành năm 2022-2023</t>
  </si>
  <si>
    <t>Xã 
Ba Trang</t>
  </si>
  <si>
    <t>Hỗ trợ nhà ở (10 hộ)</t>
  </si>
  <si>
    <t>(Kèm theo Nghị quyết số              /NQ-HĐND ngày        /3/2024 của HĐND huyện Ba Tơ)</t>
  </si>
</sst>
</file>

<file path=xl/styles.xml><?xml version="1.0" encoding="utf-8"?>
<styleSheet xmlns="http://schemas.openxmlformats.org/spreadsheetml/2006/main">
  <numFmts count="4">
    <numFmt numFmtId="43" formatCode="_-* #,##0.00\ _₫_-;\-* #,##0.00\ _₫_-;_-* &quot;-&quot;??\ _₫_-;_-@_-"/>
    <numFmt numFmtId="164" formatCode="_(* #,##0.00_);_(* \(#,##0.00\);_(* &quot;-&quot;??_);_(@_)"/>
    <numFmt numFmtId="165" formatCode="_(* #,##0_);_(* \(#,##0\);_(* &quot;-&quot;??_);_(@_)"/>
    <numFmt numFmtId="166" formatCode="_-* #,##0.00_-;\-* #,##0.00_-;_-* &quot;-&quot;??_-;_-@_-"/>
  </numFmts>
  <fonts count="42">
    <font>
      <sz val="11"/>
      <color theme="1"/>
      <name val="Calibri"/>
      <family val="2"/>
      <scheme val="minor"/>
    </font>
    <font>
      <sz val="11"/>
      <color theme="1"/>
      <name val="Calibri"/>
      <family val="2"/>
      <scheme val="minor"/>
    </font>
    <font>
      <b/>
      <sz val="13"/>
      <color theme="1"/>
      <name val="Times New Roman"/>
      <family val="1"/>
    </font>
    <font>
      <sz val="10"/>
      <name val="Arial"/>
      <family val="2"/>
    </font>
    <font>
      <sz val="11"/>
      <color indexed="8"/>
      <name val="Calibri"/>
      <family val="2"/>
    </font>
    <font>
      <sz val="11"/>
      <color indexed="8"/>
      <name val="Arial"/>
      <family val="2"/>
      <charset val="163"/>
    </font>
    <font>
      <sz val="11"/>
      <color theme="1"/>
      <name val="Calibri"/>
      <family val="2"/>
    </font>
    <font>
      <sz val="11"/>
      <color theme="1"/>
      <name val="Calibri"/>
      <family val="2"/>
      <charset val="163"/>
      <scheme val="minor"/>
    </font>
    <font>
      <b/>
      <i/>
      <sz val="11"/>
      <color theme="1"/>
      <name val="Times New Roman"/>
      <family val="1"/>
    </font>
    <font>
      <sz val="11"/>
      <name val="Calibri"/>
      <family val="2"/>
      <scheme val="minor"/>
    </font>
    <font>
      <b/>
      <i/>
      <sz val="11"/>
      <color theme="1"/>
      <name val="Calibri"/>
      <family val="2"/>
      <scheme val="minor"/>
    </font>
    <font>
      <b/>
      <i/>
      <sz val="11"/>
      <color theme="1"/>
      <name val=".VnArial Narrow"/>
      <family val="2"/>
    </font>
    <font>
      <sz val="10"/>
      <color rgb="FFFF0000"/>
      <name val="Calibri"/>
      <family val="2"/>
      <scheme val="minor"/>
    </font>
    <font>
      <b/>
      <sz val="11"/>
      <color theme="1"/>
      <name val="Calibri"/>
      <family val="2"/>
      <scheme val="minor"/>
    </font>
    <font>
      <b/>
      <sz val="10"/>
      <color rgb="FFFF0000"/>
      <name val="Calibri"/>
      <family val="2"/>
      <scheme val="minor"/>
    </font>
    <font>
      <b/>
      <sz val="9"/>
      <color theme="1"/>
      <name val=".VnArial Narrow"/>
      <family val="2"/>
    </font>
    <font>
      <b/>
      <sz val="9"/>
      <color theme="1"/>
      <name val="Calibri"/>
      <family val="2"/>
      <scheme val="minor"/>
    </font>
    <font>
      <b/>
      <sz val="10"/>
      <color theme="1"/>
      <name val=".VnArial Narrow"/>
      <family val="2"/>
    </font>
    <font>
      <sz val="11"/>
      <color rgb="FFFF0000"/>
      <name val="Calibri"/>
      <family val="2"/>
      <scheme val="minor"/>
    </font>
    <font>
      <sz val="10"/>
      <color theme="1"/>
      <name val="Times New Roman"/>
      <family val="1"/>
    </font>
    <font>
      <sz val="10"/>
      <color theme="1"/>
      <name val=".VnArial Narrow"/>
      <family val="2"/>
    </font>
    <font>
      <sz val="10"/>
      <color theme="1"/>
      <name val="Calibri"/>
      <family val="2"/>
      <scheme val="minor"/>
    </font>
    <font>
      <i/>
      <sz val="13"/>
      <color theme="1"/>
      <name val="Times New Roman"/>
      <family val="1"/>
    </font>
    <font>
      <i/>
      <sz val="11"/>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10"/>
      <color theme="1"/>
      <name val="Calibri"/>
      <family val="2"/>
      <scheme val="minor"/>
    </font>
    <font>
      <b/>
      <sz val="10"/>
      <color rgb="FFFF0000"/>
      <name val=".VnArial Narrow"/>
      <family val="2"/>
    </font>
    <font>
      <sz val="10"/>
      <name val=".VnArial Narrow"/>
      <family val="2"/>
    </font>
    <font>
      <b/>
      <sz val="10"/>
      <name val="Times New Roman"/>
      <family val="1"/>
    </font>
    <font>
      <sz val="10"/>
      <name val="Times New Roman"/>
      <family val="1"/>
    </font>
    <font>
      <b/>
      <sz val="10"/>
      <name val=".VnArial Narrow"/>
      <family val="2"/>
    </font>
    <font>
      <b/>
      <sz val="9"/>
      <name val="Calibri"/>
      <family val="2"/>
      <scheme val="minor"/>
    </font>
    <font>
      <b/>
      <sz val="9"/>
      <name val="Times New Roman"/>
      <family val="1"/>
    </font>
    <font>
      <b/>
      <sz val="9"/>
      <name val=".VnArial Narrow"/>
      <family val="2"/>
    </font>
    <font>
      <b/>
      <sz val="9.5"/>
      <name val="Times New Roman"/>
      <family val="1"/>
    </font>
    <font>
      <sz val="11"/>
      <name val=".VnArial Narrow"/>
      <family val="2"/>
    </font>
    <font>
      <sz val="9.5"/>
      <name val="Times New Roman"/>
      <family val="1"/>
    </font>
    <font>
      <b/>
      <i/>
      <sz val="11"/>
      <name val="Calibri"/>
      <family val="2"/>
      <scheme val="minor"/>
    </font>
    <font>
      <b/>
      <i/>
      <sz val="11"/>
      <name val="Times New Roman"/>
      <family val="1"/>
    </font>
    <font>
      <b/>
      <i/>
      <sz val="11"/>
      <name val=".VnArial Narrow"/>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rgb="FF00B0F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166" fontId="3"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0" fontId="1" fillId="0" borderId="0"/>
    <xf numFmtId="0" fontId="6" fillId="0" borderId="0"/>
    <xf numFmtId="0" fontId="7" fillId="0" borderId="0"/>
    <xf numFmtId="0" fontId="7" fillId="0" borderId="0"/>
    <xf numFmtId="0" fontId="1" fillId="0" borderId="0"/>
    <xf numFmtId="0" fontId="7" fillId="0" borderId="0"/>
    <xf numFmtId="164" fontId="1" fillId="0" borderId="0" applyFont="0" applyFill="0" applyBorder="0" applyAlignment="0" applyProtection="0"/>
    <xf numFmtId="0" fontId="3" fillId="0" borderId="0"/>
  </cellStyleXfs>
  <cellXfs count="107">
    <xf numFmtId="0" fontId="0" fillId="0" borderId="0" xfId="0"/>
    <xf numFmtId="0" fontId="9" fillId="0" borderId="0" xfId="0" applyFont="1"/>
    <xf numFmtId="0" fontId="10" fillId="0" borderId="0" xfId="0" applyFont="1"/>
    <xf numFmtId="0" fontId="0" fillId="4" borderId="0" xfId="0" applyFill="1"/>
    <xf numFmtId="0" fontId="12" fillId="0" borderId="0" xfId="0" applyFont="1"/>
    <xf numFmtId="0" fontId="16" fillId="5" borderId="0" xfId="0" applyFont="1" applyFill="1"/>
    <xf numFmtId="0" fontId="14" fillId="0" borderId="0" xfId="0" applyFont="1"/>
    <xf numFmtId="0" fontId="13" fillId="0" borderId="0" xfId="0" applyFont="1"/>
    <xf numFmtId="165" fontId="17" fillId="2" borderId="1" xfId="1" applyNumberFormat="1" applyFont="1" applyFill="1" applyBorder="1" applyAlignment="1">
      <alignment horizontal="center" vertical="center" wrapText="1"/>
    </xf>
    <xf numFmtId="0" fontId="2" fillId="2" borderId="0" xfId="0" applyFont="1" applyFill="1" applyAlignment="1">
      <alignment horizontal="center" vertical="top" wrapText="1"/>
    </xf>
    <xf numFmtId="0" fontId="0" fillId="2" borderId="0" xfId="0" applyFill="1"/>
    <xf numFmtId="0" fontId="8" fillId="2" borderId="0" xfId="0" applyFont="1" applyFill="1" applyAlignment="1">
      <alignment horizontal="center"/>
    </xf>
    <xf numFmtId="165" fontId="15" fillId="2" borderId="0" xfId="0" applyNumberFormat="1" applyFont="1" applyFill="1"/>
    <xf numFmtId="165" fontId="11" fillId="2" borderId="0" xfId="0" applyNumberFormat="1" applyFont="1" applyFill="1"/>
    <xf numFmtId="0" fontId="18" fillId="0" borderId="0" xfId="0" applyFont="1"/>
    <xf numFmtId="0" fontId="12" fillId="6" borderId="0" xfId="0" applyFont="1" applyFill="1"/>
    <xf numFmtId="0" fontId="0" fillId="6" borderId="0" xfId="0" applyFill="1"/>
    <xf numFmtId="164" fontId="13" fillId="2" borderId="0" xfId="0" applyNumberFormat="1" applyFont="1" applyFill="1"/>
    <xf numFmtId="164" fontId="13" fillId="3" borderId="0" xfId="0" applyNumberFormat="1" applyFont="1" applyFill="1"/>
    <xf numFmtId="165" fontId="17" fillId="2" borderId="0" xfId="1" applyNumberFormat="1" applyFont="1" applyFill="1" applyBorder="1" applyAlignment="1">
      <alignment horizontal="center" vertical="center" wrapText="1"/>
    </xf>
    <xf numFmtId="0" fontId="21" fillId="0" borderId="0" xfId="0" applyFont="1"/>
    <xf numFmtId="165" fontId="21" fillId="0" borderId="0" xfId="0" applyNumberFormat="1" applyFont="1"/>
    <xf numFmtId="0" fontId="8" fillId="0" borderId="2" xfId="0" applyFont="1" applyBorder="1" applyAlignment="1">
      <alignment horizontal="center"/>
    </xf>
    <xf numFmtId="0" fontId="24" fillId="0" borderId="1" xfId="0" applyFont="1" applyBorder="1" applyAlignment="1">
      <alignment horizontal="center" vertical="center" wrapText="1"/>
    </xf>
    <xf numFmtId="165" fontId="24" fillId="2" borderId="0" xfId="1" applyNumberFormat="1" applyFont="1" applyFill="1" applyBorder="1" applyAlignment="1">
      <alignment horizontal="center" vertical="center" wrapText="1"/>
    </xf>
    <xf numFmtId="0" fontId="25" fillId="2" borderId="0" xfId="0" applyFont="1" applyFill="1" applyAlignment="1">
      <alignment horizontal="center" vertical="center" wrapText="1"/>
    </xf>
    <xf numFmtId="0" fontId="24" fillId="2" borderId="0" xfId="0" applyFont="1" applyFill="1" applyAlignment="1">
      <alignment horizontal="center" vertical="center" wrapText="1"/>
    </xf>
    <xf numFmtId="165" fontId="17" fillId="2" borderId="0" xfId="0" applyNumberFormat="1" applyFont="1" applyFill="1" applyAlignment="1">
      <alignment vertical="center" wrapText="1"/>
    </xf>
    <xf numFmtId="164" fontId="0" fillId="2" borderId="0" xfId="0" applyNumberFormat="1" applyFill="1"/>
    <xf numFmtId="164" fontId="0" fillId="0" borderId="0" xfId="0" applyNumberFormat="1"/>
    <xf numFmtId="165" fontId="21" fillId="2" borderId="0" xfId="0" applyNumberFormat="1" applyFont="1" applyFill="1"/>
    <xf numFmtId="165" fontId="20" fillId="6" borderId="0" xfId="1" applyNumberFormat="1" applyFont="1" applyFill="1" applyBorder="1" applyAlignment="1">
      <alignment horizontal="center" vertical="center" wrapText="1"/>
    </xf>
    <xf numFmtId="165" fontId="21" fillId="6" borderId="0" xfId="0" applyNumberFormat="1" applyFont="1" applyFill="1"/>
    <xf numFmtId="0" fontId="21" fillId="6" borderId="0" xfId="0" applyFont="1" applyFill="1"/>
    <xf numFmtId="165" fontId="27" fillId="2" borderId="0" xfId="0" applyNumberFormat="1" applyFont="1" applyFill="1"/>
    <xf numFmtId="0" fontId="27" fillId="0" borderId="0" xfId="0" applyFont="1"/>
    <xf numFmtId="165" fontId="20" fillId="2" borderId="0" xfId="1" applyNumberFormat="1" applyFont="1" applyFill="1" applyBorder="1" applyAlignment="1">
      <alignment horizontal="center" vertical="center" wrapText="1"/>
    </xf>
    <xf numFmtId="165" fontId="0" fillId="2" borderId="0" xfId="0" applyNumberFormat="1" applyFill="1"/>
    <xf numFmtId="165" fontId="17" fillId="6" borderId="0" xfId="1" applyNumberFormat="1" applyFont="1" applyFill="1" applyBorder="1" applyAlignment="1">
      <alignment horizontal="center" vertical="center" wrapText="1"/>
    </xf>
    <xf numFmtId="165" fontId="12" fillId="0" borderId="0" xfId="0" applyNumberFormat="1" applyFont="1"/>
    <xf numFmtId="165" fontId="28" fillId="6" borderId="0" xfId="1" applyNumberFormat="1" applyFont="1" applyFill="1" applyBorder="1" applyAlignment="1">
      <alignment horizontal="center" vertical="center" wrapText="1"/>
    </xf>
    <xf numFmtId="165" fontId="12" fillId="6" borderId="0" xfId="0" applyNumberFormat="1" applyFont="1" applyFill="1"/>
    <xf numFmtId="165" fontId="28" fillId="2" borderId="0" xfId="1" applyNumberFormat="1" applyFont="1" applyFill="1" applyBorder="1" applyAlignment="1">
      <alignment horizontal="center" vertical="center" wrapText="1"/>
    </xf>
    <xf numFmtId="165" fontId="29" fillId="0" borderId="1" xfId="1"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vertical="center" wrapText="1"/>
    </xf>
    <xf numFmtId="165" fontId="32" fillId="0" borderId="1" xfId="1" applyNumberFormat="1" applyFont="1" applyFill="1" applyBorder="1" applyAlignment="1">
      <alignment horizontal="right" vertical="center" wrapText="1"/>
    </xf>
    <xf numFmtId="3" fontId="32" fillId="0" borderId="1" xfId="1" applyNumberFormat="1" applyFont="1" applyFill="1" applyBorder="1" applyAlignment="1">
      <alignment horizontal="right" vertical="center" wrapText="1"/>
    </xf>
    <xf numFmtId="165" fontId="32" fillId="0" borderId="1" xfId="0" applyNumberFormat="1" applyFont="1" applyBorder="1" applyAlignment="1">
      <alignment vertical="center" wrapText="1"/>
    </xf>
    <xf numFmtId="165" fontId="32" fillId="0" borderId="1" xfId="1" applyNumberFormat="1" applyFont="1" applyFill="1" applyBorder="1" applyAlignment="1">
      <alignment horizontal="center" vertical="center" wrapText="1"/>
    </xf>
    <xf numFmtId="3" fontId="32" fillId="0" borderId="1" xfId="1" applyNumberFormat="1" applyFont="1" applyFill="1" applyBorder="1" applyAlignment="1">
      <alignment horizontal="center" vertical="center" wrapText="1"/>
    </xf>
    <xf numFmtId="0" fontId="30" fillId="0" borderId="1" xfId="0" applyFont="1" applyBorder="1" applyAlignment="1">
      <alignment horizontal="justify" vertical="center" wrapText="1"/>
    </xf>
    <xf numFmtId="0" fontId="30" fillId="0" borderId="1" xfId="0" applyFont="1" applyBorder="1" applyAlignment="1">
      <alignment vertical="center" wrapText="1"/>
    </xf>
    <xf numFmtId="0" fontId="30" fillId="4" borderId="1" xfId="0" applyFont="1" applyFill="1" applyBorder="1" applyAlignment="1">
      <alignment horizontal="center" vertical="center" wrapText="1"/>
    </xf>
    <xf numFmtId="0" fontId="30" fillId="4" borderId="1" xfId="0" applyFont="1" applyFill="1" applyBorder="1" applyAlignment="1">
      <alignment horizontal="justify" vertical="center" wrapText="1"/>
    </xf>
    <xf numFmtId="0" fontId="30" fillId="4" borderId="1" xfId="0" applyFont="1" applyFill="1" applyBorder="1" applyAlignment="1">
      <alignment vertical="center" wrapText="1"/>
    </xf>
    <xf numFmtId="165" fontId="32" fillId="4" borderId="1" xfId="1" applyNumberFormat="1" applyFont="1" applyFill="1" applyBorder="1" applyAlignment="1">
      <alignment horizontal="right" vertical="center" wrapText="1"/>
    </xf>
    <xf numFmtId="3" fontId="32" fillId="4" borderId="1" xfId="1" applyNumberFormat="1" applyFont="1" applyFill="1" applyBorder="1" applyAlignment="1">
      <alignment horizontal="right" vertical="center" wrapText="1"/>
    </xf>
    <xf numFmtId="165" fontId="32" fillId="4" borderId="1" xfId="1" applyNumberFormat="1" applyFont="1" applyFill="1" applyBorder="1" applyAlignment="1">
      <alignment horizontal="center" vertical="center" wrapText="1"/>
    </xf>
    <xf numFmtId="3" fontId="32" fillId="4" borderId="1" xfId="1"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165" fontId="31" fillId="6" borderId="1" xfId="0" applyNumberFormat="1" applyFont="1" applyFill="1" applyBorder="1" applyAlignment="1">
      <alignment horizontal="left" vertical="center" wrapText="1"/>
    </xf>
    <xf numFmtId="165" fontId="31" fillId="6" borderId="1" xfId="0" applyNumberFormat="1" applyFont="1" applyFill="1" applyBorder="1" applyAlignment="1">
      <alignment horizontal="center" vertical="center" wrapText="1"/>
    </xf>
    <xf numFmtId="165" fontId="32" fillId="6" borderId="1" xfId="1" applyNumberFormat="1" applyFont="1" applyFill="1" applyBorder="1" applyAlignment="1">
      <alignment horizontal="center" vertical="center" wrapText="1"/>
    </xf>
    <xf numFmtId="165" fontId="29" fillId="6" borderId="1" xfId="1" applyNumberFormat="1" applyFont="1" applyFill="1" applyBorder="1" applyAlignment="1">
      <alignment horizontal="center" vertical="center" wrapText="1"/>
    </xf>
    <xf numFmtId="3" fontId="32" fillId="6" borderId="1" xfId="1" applyNumberFormat="1" applyFont="1" applyFill="1" applyBorder="1" applyAlignment="1">
      <alignment horizontal="center" vertical="center" wrapText="1"/>
    </xf>
    <xf numFmtId="3" fontId="29" fillId="6" borderId="1" xfId="1" applyNumberFormat="1" applyFont="1" applyFill="1" applyBorder="1" applyAlignment="1">
      <alignment horizontal="center" vertical="center" wrapText="1"/>
    </xf>
    <xf numFmtId="165" fontId="30" fillId="0" borderId="1" xfId="0" applyNumberFormat="1" applyFont="1" applyBorder="1" applyAlignment="1">
      <alignment horizontal="left" vertical="center" wrapText="1"/>
    </xf>
    <xf numFmtId="165" fontId="30"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165" fontId="31" fillId="0" borderId="1" xfId="0" applyNumberFormat="1" applyFont="1" applyBorder="1" applyAlignment="1">
      <alignment horizontal="left" vertical="center" wrapText="1"/>
    </xf>
    <xf numFmtId="165" fontId="31" fillId="0" borderId="1" xfId="0" applyNumberFormat="1" applyFont="1" applyBorder="1" applyAlignment="1">
      <alignment horizontal="center" vertical="center" wrapText="1"/>
    </xf>
    <xf numFmtId="3" fontId="29" fillId="0" borderId="1" xfId="1" applyNumberFormat="1" applyFont="1" applyFill="1" applyBorder="1" applyAlignment="1">
      <alignment horizontal="center" vertical="center" wrapText="1"/>
    </xf>
    <xf numFmtId="165" fontId="31" fillId="0" borderId="1" xfId="12" applyNumberFormat="1" applyFont="1" applyBorder="1" applyAlignment="1">
      <alignment horizontal="left" vertical="center" wrapText="1"/>
    </xf>
    <xf numFmtId="0" fontId="33" fillId="5" borderId="1" xfId="0" applyFont="1" applyFill="1" applyBorder="1"/>
    <xf numFmtId="165" fontId="35" fillId="5" borderId="1" xfId="0" applyNumberFormat="1" applyFont="1" applyFill="1" applyBorder="1"/>
    <xf numFmtId="3" fontId="35" fillId="5" borderId="1" xfId="0" applyNumberFormat="1" applyFont="1" applyFill="1" applyBorder="1"/>
    <xf numFmtId="3" fontId="36" fillId="0" borderId="1" xfId="0" applyNumberFormat="1" applyFont="1" applyBorder="1" applyAlignment="1">
      <alignment horizontal="center" vertical="center" wrapText="1"/>
    </xf>
    <xf numFmtId="0" fontId="9" fillId="0" borderId="1" xfId="0" applyFont="1" applyBorder="1"/>
    <xf numFmtId="0" fontId="37" fillId="0" borderId="1" xfId="0" applyFont="1" applyBorder="1"/>
    <xf numFmtId="3" fontId="37" fillId="0" borderId="1" xfId="0" applyNumberFormat="1" applyFont="1" applyBorder="1"/>
    <xf numFmtId="3" fontId="38"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 xfId="0" applyFont="1" applyFill="1" applyBorder="1" applyAlignment="1">
      <alignment horizontal="justify" vertical="center" wrapText="1"/>
    </xf>
    <xf numFmtId="0" fontId="9" fillId="6" borderId="1" xfId="0" applyFont="1" applyFill="1" applyBorder="1"/>
    <xf numFmtId="0" fontId="31" fillId="0" borderId="1" xfId="0" applyFont="1" applyBorder="1" applyAlignment="1">
      <alignment horizontal="justify" vertical="center" wrapText="1"/>
    </xf>
    <xf numFmtId="0" fontId="31" fillId="0" borderId="1" xfId="0" applyFont="1" applyBorder="1" applyAlignment="1">
      <alignment vertical="center"/>
    </xf>
    <xf numFmtId="0" fontId="39" fillId="0" borderId="1" xfId="0" applyFont="1" applyBorder="1"/>
    <xf numFmtId="165" fontId="41" fillId="0" borderId="1" xfId="0" applyNumberFormat="1" applyFont="1" applyBorder="1"/>
    <xf numFmtId="0" fontId="40" fillId="0" borderId="1" xfId="0" applyFont="1" applyBorder="1" applyAlignment="1">
      <alignment horizontal="left" vertical="center" wrapText="1"/>
    </xf>
    <xf numFmtId="0" fontId="34" fillId="5"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165" fontId="24" fillId="0" borderId="1" xfId="1"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 fillId="0" borderId="0" xfId="0" applyFont="1" applyAlignment="1">
      <alignment horizontal="center" vertical="top" wrapText="1"/>
    </xf>
    <xf numFmtId="0" fontId="24" fillId="0" borderId="1" xfId="0" applyFont="1" applyBorder="1" applyAlignment="1">
      <alignment horizontal="center" vertical="center" wrapText="1"/>
    </xf>
    <xf numFmtId="0" fontId="19" fillId="0" borderId="1" xfId="0" applyFont="1" applyBorder="1" applyAlignment="1">
      <alignment vertical="center" wrapText="1"/>
    </xf>
    <xf numFmtId="0" fontId="26" fillId="0" borderId="1" xfId="0" applyFont="1" applyBorder="1" applyAlignment="1">
      <alignment vertical="center" wrapText="1"/>
    </xf>
    <xf numFmtId="0" fontId="30" fillId="0" borderId="1" xfId="0" applyFont="1" applyBorder="1" applyAlignment="1">
      <alignment horizontal="center" vertical="center" wrapText="1"/>
    </xf>
    <xf numFmtId="0" fontId="22" fillId="0" borderId="0" xfId="0" applyFont="1" applyAlignment="1">
      <alignment horizontal="center" vertical="top" wrapText="1"/>
    </xf>
    <xf numFmtId="0" fontId="8" fillId="0" borderId="2" xfId="0" applyFont="1" applyBorder="1" applyAlignment="1">
      <alignment horizontal="center"/>
    </xf>
    <xf numFmtId="0" fontId="23" fillId="0" borderId="2" xfId="0" applyFont="1" applyBorder="1" applyAlignment="1">
      <alignment horizontal="center"/>
    </xf>
    <xf numFmtId="0" fontId="19" fillId="0" borderId="1" xfId="0" applyFont="1" applyBorder="1" applyAlignment="1">
      <alignment horizontal="center" vertical="center" wrapText="1"/>
    </xf>
    <xf numFmtId="165" fontId="19" fillId="0" borderId="1" xfId="1" applyNumberFormat="1" applyFont="1" applyFill="1" applyBorder="1" applyAlignment="1">
      <alignment vertical="center" wrapText="1"/>
    </xf>
  </cellXfs>
  <cellStyles count="13">
    <cellStyle name="Comma" xfId="1" builtinId="3"/>
    <cellStyle name="Comma 10 10 2" xfId="3"/>
    <cellStyle name="Comma 2" xfId="4"/>
    <cellStyle name="Comma 3" xfId="11"/>
    <cellStyle name="Comma 4" xfId="2"/>
    <cellStyle name="Normal" xfId="0" builtinId="0"/>
    <cellStyle name="Normal 14 2" xfId="6"/>
    <cellStyle name="Normal 18" xfId="12"/>
    <cellStyle name="Normal 2" xfId="5"/>
    <cellStyle name="Normal 20 2" xfId="9"/>
    <cellStyle name="Normal 44" xfId="8"/>
    <cellStyle name="Normal 49" xfId="7"/>
    <cellStyle name="Normal 5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C103"/>
  <sheetViews>
    <sheetView tabSelected="1" topLeftCell="A2" zoomScale="80" zoomScaleNormal="80" workbookViewId="0">
      <pane ySplit="5" topLeftCell="A7" activePane="bottomLeft" state="frozen"/>
      <selection activeCell="A2" sqref="A2"/>
      <selection pane="bottomLeft" activeCell="D4" sqref="D4:D6"/>
    </sheetView>
  </sheetViews>
  <sheetFormatPr defaultRowHeight="15"/>
  <cols>
    <col min="1" max="1" width="4.140625" customWidth="1"/>
    <col min="2" max="2" width="32.5703125" customWidth="1"/>
    <col min="3" max="3" width="12.85546875" customWidth="1"/>
    <col min="4" max="4" width="11.5703125" customWidth="1"/>
    <col min="5" max="5" width="8.5703125" customWidth="1"/>
    <col min="6" max="6" width="8.140625" customWidth="1"/>
    <col min="7" max="7" width="8.7109375" customWidth="1"/>
    <col min="8" max="8" width="8.28515625" customWidth="1"/>
    <col min="9" max="9" width="7" customWidth="1"/>
    <col min="10" max="10" width="8.28515625" customWidth="1"/>
    <col min="11" max="11" width="8.5703125" customWidth="1"/>
    <col min="12" max="12" width="7.140625" customWidth="1"/>
    <col min="13" max="13" width="7" customWidth="1"/>
    <col min="14" max="14" width="8.140625" style="1" customWidth="1"/>
    <col min="15" max="15" width="8.7109375" style="1" customWidth="1"/>
    <col min="16" max="16" width="7.140625" style="1" customWidth="1"/>
    <col min="17" max="17" width="7" style="1" customWidth="1"/>
    <col min="18" max="18" width="7.140625" customWidth="1"/>
    <col min="19" max="19" width="7.5703125" customWidth="1"/>
    <col min="20" max="20" width="6.42578125" customWidth="1"/>
    <col min="21" max="21" width="7.28515625" customWidth="1"/>
    <col min="22" max="22" width="9.85546875" style="10" customWidth="1"/>
    <col min="23" max="23" width="11.5703125" style="10" customWidth="1"/>
    <col min="24" max="24" width="12.42578125" customWidth="1"/>
    <col min="25" max="25" width="13.140625" customWidth="1"/>
    <col min="26" max="38" width="8.7109375" customWidth="1"/>
  </cols>
  <sheetData>
    <row r="1" spans="1:29" ht="58.5" customHeight="1">
      <c r="A1" s="97" t="s">
        <v>151</v>
      </c>
      <c r="B1" s="97"/>
      <c r="C1" s="97"/>
      <c r="D1" s="97"/>
      <c r="E1" s="97"/>
      <c r="F1" s="97"/>
      <c r="G1" s="97"/>
      <c r="H1" s="97"/>
      <c r="I1" s="97"/>
      <c r="J1" s="97"/>
      <c r="K1" s="97"/>
      <c r="L1" s="97"/>
      <c r="M1" s="97"/>
      <c r="N1" s="97"/>
      <c r="O1" s="97"/>
      <c r="P1" s="97"/>
      <c r="Q1" s="97"/>
      <c r="R1" s="97"/>
      <c r="S1" s="97"/>
      <c r="T1" s="97"/>
      <c r="U1" s="97"/>
      <c r="V1" s="9"/>
    </row>
    <row r="2" spans="1:29" ht="16.5">
      <c r="A2" s="102" t="s">
        <v>235</v>
      </c>
      <c r="B2" s="102"/>
      <c r="C2" s="102"/>
      <c r="D2" s="102"/>
      <c r="E2" s="102"/>
      <c r="F2" s="102"/>
      <c r="G2" s="102"/>
      <c r="H2" s="102"/>
      <c r="I2" s="102"/>
      <c r="J2" s="102"/>
      <c r="K2" s="102"/>
      <c r="L2" s="102"/>
      <c r="M2" s="102"/>
      <c r="N2" s="102"/>
      <c r="O2" s="102"/>
      <c r="P2" s="102"/>
      <c r="Q2" s="102"/>
      <c r="R2" s="102"/>
      <c r="S2" s="102"/>
      <c r="T2" s="102"/>
    </row>
    <row r="3" spans="1:29">
      <c r="K3" s="103"/>
      <c r="L3" s="103"/>
      <c r="M3" s="22"/>
      <c r="N3" s="22"/>
      <c r="O3" s="22"/>
      <c r="P3" s="22"/>
      <c r="Q3" s="22"/>
      <c r="R3" s="22"/>
      <c r="S3" s="104" t="s">
        <v>9</v>
      </c>
      <c r="T3" s="104"/>
      <c r="U3" s="22"/>
      <c r="V3" s="11"/>
    </row>
    <row r="4" spans="1:29" ht="32.25" customHeight="1">
      <c r="A4" s="98" t="s">
        <v>10</v>
      </c>
      <c r="B4" s="98" t="s">
        <v>11</v>
      </c>
      <c r="C4" s="98" t="s">
        <v>94</v>
      </c>
      <c r="D4" s="98" t="s">
        <v>95</v>
      </c>
      <c r="E4" s="98" t="s">
        <v>12</v>
      </c>
      <c r="F4" s="98" t="s">
        <v>13</v>
      </c>
      <c r="G4" s="95" t="s">
        <v>14</v>
      </c>
      <c r="H4" s="106"/>
      <c r="I4" s="106"/>
      <c r="J4" s="95" t="s">
        <v>15</v>
      </c>
      <c r="K4" s="95"/>
      <c r="L4" s="95"/>
      <c r="M4" s="95"/>
      <c r="N4" s="95" t="s">
        <v>125</v>
      </c>
      <c r="O4" s="95"/>
      <c r="P4" s="95"/>
      <c r="Q4" s="95"/>
      <c r="R4" s="95" t="s">
        <v>126</v>
      </c>
      <c r="S4" s="95"/>
      <c r="T4" s="95"/>
      <c r="U4" s="95"/>
      <c r="V4" s="24"/>
    </row>
    <row r="5" spans="1:29">
      <c r="A5" s="99"/>
      <c r="B5" s="105"/>
      <c r="C5" s="98"/>
      <c r="D5" s="98"/>
      <c r="E5" s="99"/>
      <c r="F5" s="99"/>
      <c r="G5" s="98" t="s">
        <v>16</v>
      </c>
      <c r="H5" s="96" t="s">
        <v>17</v>
      </c>
      <c r="I5" s="100"/>
      <c r="J5" s="98" t="s">
        <v>18</v>
      </c>
      <c r="K5" s="96" t="s">
        <v>19</v>
      </c>
      <c r="L5" s="96"/>
      <c r="M5" s="96"/>
      <c r="N5" s="98" t="s">
        <v>18</v>
      </c>
      <c r="O5" s="96" t="s">
        <v>19</v>
      </c>
      <c r="P5" s="96"/>
      <c r="Q5" s="96"/>
      <c r="R5" s="98" t="s">
        <v>18</v>
      </c>
      <c r="S5" s="96" t="s">
        <v>19</v>
      </c>
      <c r="T5" s="96"/>
      <c r="U5" s="96"/>
      <c r="V5" s="25"/>
    </row>
    <row r="6" spans="1:29" ht="39.75" customHeight="1">
      <c r="A6" s="99"/>
      <c r="B6" s="105"/>
      <c r="C6" s="98"/>
      <c r="D6" s="98"/>
      <c r="E6" s="99"/>
      <c r="F6" s="99"/>
      <c r="G6" s="99"/>
      <c r="H6" s="23" t="s">
        <v>20</v>
      </c>
      <c r="I6" s="23" t="s">
        <v>21</v>
      </c>
      <c r="J6" s="99"/>
      <c r="K6" s="23" t="s">
        <v>20</v>
      </c>
      <c r="L6" s="23" t="s">
        <v>87</v>
      </c>
      <c r="M6" s="23" t="s">
        <v>88</v>
      </c>
      <c r="N6" s="99"/>
      <c r="O6" s="23" t="s">
        <v>20</v>
      </c>
      <c r="P6" s="23" t="s">
        <v>87</v>
      </c>
      <c r="Q6" s="23" t="s">
        <v>88</v>
      </c>
      <c r="R6" s="99"/>
      <c r="S6" s="23" t="s">
        <v>20</v>
      </c>
      <c r="T6" s="23" t="s">
        <v>87</v>
      </c>
      <c r="U6" s="23" t="s">
        <v>88</v>
      </c>
      <c r="V6" s="26"/>
    </row>
    <row r="7" spans="1:29">
      <c r="A7" s="101" t="s">
        <v>201</v>
      </c>
      <c r="B7" s="101"/>
      <c r="C7" s="44"/>
      <c r="D7" s="44"/>
      <c r="E7" s="45"/>
      <c r="F7" s="45"/>
      <c r="G7" s="46">
        <f t="shared" ref="G7:T7" si="0">G8+G24+G31+G89+G96+G102</f>
        <v>230620.25</v>
      </c>
      <c r="H7" s="46">
        <f t="shared" si="0"/>
        <v>200820</v>
      </c>
      <c r="I7" s="46">
        <f t="shared" si="0"/>
        <v>29800.25</v>
      </c>
      <c r="J7" s="46">
        <f t="shared" si="0"/>
        <v>226461.25</v>
      </c>
      <c r="K7" s="46">
        <f t="shared" si="0"/>
        <v>197200</v>
      </c>
      <c r="L7" s="46">
        <f t="shared" si="0"/>
        <v>19499</v>
      </c>
      <c r="M7" s="46">
        <f t="shared" si="0"/>
        <v>9762.25</v>
      </c>
      <c r="N7" s="46">
        <f t="shared" si="0"/>
        <v>100249</v>
      </c>
      <c r="O7" s="46">
        <f t="shared" si="0"/>
        <v>90785</v>
      </c>
      <c r="P7" s="46">
        <f t="shared" si="0"/>
        <v>9420</v>
      </c>
      <c r="Q7" s="46">
        <f t="shared" si="0"/>
        <v>44</v>
      </c>
      <c r="R7" s="47">
        <f t="shared" si="0"/>
        <v>74663</v>
      </c>
      <c r="S7" s="47">
        <f t="shared" si="0"/>
        <v>67966</v>
      </c>
      <c r="T7" s="47">
        <f t="shared" si="0"/>
        <v>6697</v>
      </c>
      <c r="U7" s="48"/>
      <c r="V7" s="27"/>
      <c r="W7" s="28">
        <f>X7+Y7</f>
        <v>74663</v>
      </c>
      <c r="X7" s="29">
        <v>67966</v>
      </c>
      <c r="Y7" s="29">
        <v>6697</v>
      </c>
    </row>
    <row r="8" spans="1:29" ht="26.25" customHeight="1">
      <c r="A8" s="44" t="s">
        <v>24</v>
      </c>
      <c r="B8" s="91" t="s">
        <v>22</v>
      </c>
      <c r="C8" s="91"/>
      <c r="D8" s="91"/>
      <c r="E8" s="91"/>
      <c r="F8" s="91"/>
      <c r="G8" s="49">
        <f t="shared" ref="G8:U8" si="1">G12+G22+G23</f>
        <v>11271</v>
      </c>
      <c r="H8" s="49">
        <f t="shared" si="1"/>
        <v>9778</v>
      </c>
      <c r="I8" s="49">
        <f t="shared" si="1"/>
        <v>1493</v>
      </c>
      <c r="J8" s="49">
        <f t="shared" si="1"/>
        <v>11271</v>
      </c>
      <c r="K8" s="49">
        <f t="shared" si="1"/>
        <v>9778</v>
      </c>
      <c r="L8" s="49">
        <f t="shared" si="1"/>
        <v>988</v>
      </c>
      <c r="M8" s="49">
        <f t="shared" si="1"/>
        <v>505</v>
      </c>
      <c r="N8" s="49">
        <f t="shared" si="1"/>
        <v>990</v>
      </c>
      <c r="O8" s="49">
        <f t="shared" si="1"/>
        <v>858</v>
      </c>
      <c r="P8" s="49">
        <f t="shared" si="1"/>
        <v>88</v>
      </c>
      <c r="Q8" s="49">
        <f t="shared" si="1"/>
        <v>44</v>
      </c>
      <c r="R8" s="50">
        <f t="shared" si="1"/>
        <v>6427</v>
      </c>
      <c r="S8" s="50">
        <f t="shared" si="1"/>
        <v>5848</v>
      </c>
      <c r="T8" s="50">
        <f t="shared" si="1"/>
        <v>579</v>
      </c>
      <c r="U8" s="49">
        <f t="shared" si="1"/>
        <v>0</v>
      </c>
      <c r="V8" s="19"/>
      <c r="W8" s="28">
        <f>W7-R7</f>
        <v>0</v>
      </c>
      <c r="X8" s="28">
        <f t="shared" ref="X8:Y8" si="2">X7-S7</f>
        <v>0</v>
      </c>
      <c r="Y8" s="28">
        <f t="shared" si="2"/>
        <v>0</v>
      </c>
    </row>
    <row r="9" spans="1:29" ht="27.75" customHeight="1">
      <c r="A9" s="44" t="s">
        <v>0</v>
      </c>
      <c r="B9" s="51" t="s">
        <v>23</v>
      </c>
      <c r="C9" s="51"/>
      <c r="D9" s="51"/>
      <c r="E9" s="52"/>
      <c r="F9" s="44"/>
      <c r="G9" s="49"/>
      <c r="H9" s="49"/>
      <c r="I9" s="49"/>
      <c r="J9" s="49"/>
      <c r="K9" s="49"/>
      <c r="L9" s="49"/>
      <c r="M9" s="49"/>
      <c r="N9" s="49"/>
      <c r="O9" s="49"/>
      <c r="P9" s="49"/>
      <c r="Q9" s="49"/>
      <c r="R9" s="50"/>
      <c r="S9" s="50"/>
      <c r="T9" s="50"/>
      <c r="U9" s="49"/>
      <c r="V9" s="19"/>
      <c r="W9" s="28">
        <f>W8+W32</f>
        <v>0</v>
      </c>
      <c r="X9" s="28">
        <f t="shared" ref="X9:Y9" si="3">X8+X32</f>
        <v>0</v>
      </c>
      <c r="Y9" s="28">
        <f t="shared" si="3"/>
        <v>0</v>
      </c>
    </row>
    <row r="10" spans="1:29" ht="30" customHeight="1">
      <c r="A10" s="44" t="s">
        <v>1</v>
      </c>
      <c r="B10" s="51" t="s">
        <v>25</v>
      </c>
      <c r="C10" s="51"/>
      <c r="D10" s="51"/>
      <c r="E10" s="52"/>
      <c r="F10" s="44"/>
      <c r="G10" s="49"/>
      <c r="H10" s="49"/>
      <c r="I10" s="49"/>
      <c r="J10" s="49"/>
      <c r="K10" s="49"/>
      <c r="L10" s="49"/>
      <c r="M10" s="49"/>
      <c r="N10" s="49"/>
      <c r="O10" s="49"/>
      <c r="P10" s="49"/>
      <c r="Q10" s="49"/>
      <c r="R10" s="50"/>
      <c r="S10" s="50"/>
      <c r="T10" s="50"/>
      <c r="U10" s="49"/>
      <c r="V10" s="19"/>
      <c r="W10" s="28"/>
    </row>
    <row r="11" spans="1:29" s="3" customFormat="1" ht="27" customHeight="1">
      <c r="A11" s="53" t="s">
        <v>2</v>
      </c>
      <c r="B11" s="54" t="s">
        <v>128</v>
      </c>
      <c r="C11" s="54"/>
      <c r="D11" s="54"/>
      <c r="E11" s="55"/>
      <c r="F11" s="53"/>
      <c r="G11" s="56">
        <f>G12</f>
        <v>11271</v>
      </c>
      <c r="H11" s="56">
        <f t="shared" ref="H11:U11" si="4">H12</f>
        <v>9778</v>
      </c>
      <c r="I11" s="56">
        <f t="shared" si="4"/>
        <v>1493</v>
      </c>
      <c r="J11" s="56">
        <f t="shared" si="4"/>
        <v>11271</v>
      </c>
      <c r="K11" s="56">
        <f t="shared" si="4"/>
        <v>9778</v>
      </c>
      <c r="L11" s="56">
        <f t="shared" si="4"/>
        <v>988</v>
      </c>
      <c r="M11" s="56">
        <f t="shared" si="4"/>
        <v>505</v>
      </c>
      <c r="N11" s="56">
        <f t="shared" si="4"/>
        <v>990</v>
      </c>
      <c r="O11" s="56">
        <f t="shared" si="4"/>
        <v>858</v>
      </c>
      <c r="P11" s="56">
        <f t="shared" si="4"/>
        <v>88</v>
      </c>
      <c r="Q11" s="56">
        <f t="shared" si="4"/>
        <v>44</v>
      </c>
      <c r="R11" s="57">
        <f t="shared" si="4"/>
        <v>6427</v>
      </c>
      <c r="S11" s="57">
        <f t="shared" si="4"/>
        <v>5848</v>
      </c>
      <c r="T11" s="57">
        <f t="shared" si="4"/>
        <v>579</v>
      </c>
      <c r="U11" s="56">
        <f t="shared" si="4"/>
        <v>0</v>
      </c>
      <c r="V11" s="19"/>
      <c r="W11" s="30"/>
      <c r="X11" s="20"/>
    </row>
    <row r="12" spans="1:29" s="3" customFormat="1">
      <c r="A12" s="53" t="s">
        <v>143</v>
      </c>
      <c r="B12" s="54" t="s">
        <v>144</v>
      </c>
      <c r="C12" s="54"/>
      <c r="D12" s="54"/>
      <c r="E12" s="55"/>
      <c r="F12" s="53"/>
      <c r="G12" s="58">
        <f>SUM(G13:G21)</f>
        <v>11271</v>
      </c>
      <c r="H12" s="58">
        <f t="shared" ref="H12:U12" si="5">SUM(H13:H21)</f>
        <v>9778</v>
      </c>
      <c r="I12" s="58">
        <f t="shared" si="5"/>
        <v>1493</v>
      </c>
      <c r="J12" s="58">
        <f t="shared" si="5"/>
        <v>11271</v>
      </c>
      <c r="K12" s="58">
        <f t="shared" si="5"/>
        <v>9778</v>
      </c>
      <c r="L12" s="58">
        <f t="shared" si="5"/>
        <v>988</v>
      </c>
      <c r="M12" s="58">
        <f t="shared" si="5"/>
        <v>505</v>
      </c>
      <c r="N12" s="58">
        <f t="shared" si="5"/>
        <v>990</v>
      </c>
      <c r="O12" s="58">
        <f t="shared" si="5"/>
        <v>858</v>
      </c>
      <c r="P12" s="58">
        <f t="shared" si="5"/>
        <v>88</v>
      </c>
      <c r="Q12" s="58">
        <f t="shared" si="5"/>
        <v>44</v>
      </c>
      <c r="R12" s="59">
        <f t="shared" si="5"/>
        <v>6427</v>
      </c>
      <c r="S12" s="59">
        <f t="shared" si="5"/>
        <v>5848</v>
      </c>
      <c r="T12" s="59">
        <f t="shared" si="5"/>
        <v>579</v>
      </c>
      <c r="U12" s="58">
        <f t="shared" si="5"/>
        <v>0</v>
      </c>
      <c r="V12" s="19"/>
      <c r="W12" s="8">
        <f>X12+Y12</f>
        <v>6427</v>
      </c>
      <c r="X12" s="8">
        <v>5848</v>
      </c>
      <c r="Y12" s="8">
        <v>579</v>
      </c>
    </row>
    <row r="13" spans="1:29" s="15" customFormat="1" ht="32.25" customHeight="1">
      <c r="A13" s="60">
        <v>1</v>
      </c>
      <c r="B13" s="61" t="s">
        <v>188</v>
      </c>
      <c r="C13" s="62" t="s">
        <v>84</v>
      </c>
      <c r="D13" s="62" t="s">
        <v>187</v>
      </c>
      <c r="E13" s="62" t="s">
        <v>85</v>
      </c>
      <c r="F13" s="62" t="s">
        <v>133</v>
      </c>
      <c r="G13" s="63">
        <f>H13+I13</f>
        <v>537</v>
      </c>
      <c r="H13" s="64">
        <f t="shared" ref="H13:H19" si="6">K13</f>
        <v>468</v>
      </c>
      <c r="I13" s="64">
        <f t="shared" ref="I13:I19" si="7">L13+M13</f>
        <v>69</v>
      </c>
      <c r="J13" s="63">
        <f t="shared" ref="J13" si="8">SUM(K13:M13)</f>
        <v>537</v>
      </c>
      <c r="K13" s="64">
        <v>468</v>
      </c>
      <c r="L13" s="64">
        <v>46</v>
      </c>
      <c r="M13" s="64">
        <v>23</v>
      </c>
      <c r="N13" s="63">
        <f t="shared" ref="N13" si="9">SUM(O13:Q13)</f>
        <v>360</v>
      </c>
      <c r="O13" s="64">
        <f>39*8</f>
        <v>312</v>
      </c>
      <c r="P13" s="64">
        <f>4*8</f>
        <v>32</v>
      </c>
      <c r="Q13" s="64">
        <f>2*8</f>
        <v>16</v>
      </c>
      <c r="R13" s="65">
        <f t="shared" ref="R13:R18" si="10">S13+T13</f>
        <v>170</v>
      </c>
      <c r="S13" s="66">
        <f t="shared" ref="S13:T15" si="11">K13-O13</f>
        <v>156</v>
      </c>
      <c r="T13" s="66">
        <f t="shared" si="11"/>
        <v>14</v>
      </c>
      <c r="U13" s="64"/>
      <c r="V13" s="31" t="s">
        <v>96</v>
      </c>
      <c r="W13" s="32">
        <f>R12-W12</f>
        <v>0</v>
      </c>
      <c r="X13" s="32">
        <f>S12-X12</f>
        <v>0</v>
      </c>
      <c r="Y13" s="32">
        <f>T12-Y12</f>
        <v>0</v>
      </c>
      <c r="Z13" s="33"/>
      <c r="AA13" s="33"/>
      <c r="AB13" s="33"/>
      <c r="AC13" s="33"/>
    </row>
    <row r="14" spans="1:29" s="15" customFormat="1" ht="25.5">
      <c r="A14" s="60">
        <v>2</v>
      </c>
      <c r="B14" s="61" t="s">
        <v>234</v>
      </c>
      <c r="C14" s="62" t="s">
        <v>131</v>
      </c>
      <c r="D14" s="62" t="s">
        <v>187</v>
      </c>
      <c r="E14" s="62" t="s">
        <v>132</v>
      </c>
      <c r="F14" s="62" t="s">
        <v>133</v>
      </c>
      <c r="G14" s="63">
        <f>H14+I14</f>
        <v>537</v>
      </c>
      <c r="H14" s="64">
        <f t="shared" si="6"/>
        <v>468</v>
      </c>
      <c r="I14" s="64">
        <f t="shared" si="7"/>
        <v>69</v>
      </c>
      <c r="J14" s="63">
        <f t="shared" ref="J14" si="12">SUM(K14:M14)</f>
        <v>537</v>
      </c>
      <c r="K14" s="64">
        <v>468</v>
      </c>
      <c r="L14" s="64">
        <v>46</v>
      </c>
      <c r="M14" s="64">
        <v>23</v>
      </c>
      <c r="N14" s="63">
        <f t="shared" ref="N14" si="13">SUM(O14:Q14)</f>
        <v>90</v>
      </c>
      <c r="O14" s="64">
        <v>78</v>
      </c>
      <c r="P14" s="64">
        <v>8</v>
      </c>
      <c r="Q14" s="64">
        <v>4</v>
      </c>
      <c r="R14" s="65">
        <f t="shared" si="10"/>
        <v>428</v>
      </c>
      <c r="S14" s="66">
        <f t="shared" si="11"/>
        <v>390</v>
      </c>
      <c r="T14" s="66">
        <f t="shared" si="11"/>
        <v>38</v>
      </c>
      <c r="U14" s="64"/>
      <c r="V14" s="31" t="s">
        <v>136</v>
      </c>
      <c r="W14" s="32"/>
      <c r="X14" s="33"/>
      <c r="Y14" s="33"/>
      <c r="Z14" s="33"/>
      <c r="AA14" s="33"/>
      <c r="AB14" s="33"/>
      <c r="AC14" s="33"/>
    </row>
    <row r="15" spans="1:29" s="15" customFormat="1" ht="25.5">
      <c r="A15" s="60">
        <v>3</v>
      </c>
      <c r="B15" s="61" t="s">
        <v>186</v>
      </c>
      <c r="C15" s="62" t="s">
        <v>86</v>
      </c>
      <c r="D15" s="62" t="s">
        <v>185</v>
      </c>
      <c r="E15" s="62" t="s">
        <v>28</v>
      </c>
      <c r="F15" s="62" t="s">
        <v>133</v>
      </c>
      <c r="G15" s="63">
        <f>H15+I15</f>
        <v>2242</v>
      </c>
      <c r="H15" s="64">
        <f t="shared" si="6"/>
        <v>1950</v>
      </c>
      <c r="I15" s="64">
        <f t="shared" si="7"/>
        <v>292</v>
      </c>
      <c r="J15" s="63">
        <f t="shared" ref="J15" si="14">SUM(K15:M15)</f>
        <v>2242</v>
      </c>
      <c r="K15" s="64">
        <v>1950</v>
      </c>
      <c r="L15" s="64">
        <v>195</v>
      </c>
      <c r="M15" s="64">
        <v>97</v>
      </c>
      <c r="N15" s="63">
        <f t="shared" ref="N15:N18" si="15">SUM(O15:Q15)</f>
        <v>360</v>
      </c>
      <c r="O15" s="64">
        <f>8*39</f>
        <v>312</v>
      </c>
      <c r="P15" s="64">
        <f>8*4</f>
        <v>32</v>
      </c>
      <c r="Q15" s="64">
        <f>2*8</f>
        <v>16</v>
      </c>
      <c r="R15" s="65">
        <f t="shared" si="10"/>
        <v>1801</v>
      </c>
      <c r="S15" s="66">
        <f t="shared" si="11"/>
        <v>1638</v>
      </c>
      <c r="T15" s="66">
        <f t="shared" si="11"/>
        <v>163</v>
      </c>
      <c r="U15" s="64"/>
      <c r="V15" s="31" t="s">
        <v>152</v>
      </c>
      <c r="W15" s="32"/>
      <c r="X15" s="33"/>
      <c r="Y15" s="33"/>
      <c r="Z15" s="33"/>
      <c r="AA15" s="33"/>
      <c r="AB15" s="33"/>
      <c r="AC15" s="33"/>
    </row>
    <row r="16" spans="1:29" s="15" customFormat="1" ht="25.5">
      <c r="A16" s="60">
        <v>4</v>
      </c>
      <c r="B16" s="61" t="s">
        <v>176</v>
      </c>
      <c r="C16" s="62" t="s">
        <v>138</v>
      </c>
      <c r="D16" s="62" t="s">
        <v>175</v>
      </c>
      <c r="E16" s="62" t="s">
        <v>66</v>
      </c>
      <c r="F16" s="62" t="s">
        <v>133</v>
      </c>
      <c r="G16" s="63">
        <f>H16+I16</f>
        <v>897</v>
      </c>
      <c r="H16" s="64">
        <f t="shared" si="6"/>
        <v>780</v>
      </c>
      <c r="I16" s="64">
        <f t="shared" si="7"/>
        <v>117</v>
      </c>
      <c r="J16" s="63">
        <f>SUM(K16:M16)</f>
        <v>897</v>
      </c>
      <c r="K16" s="64">
        <v>780</v>
      </c>
      <c r="L16" s="64">
        <v>78</v>
      </c>
      <c r="M16" s="64">
        <v>39</v>
      </c>
      <c r="N16" s="63">
        <f t="shared" si="15"/>
        <v>135</v>
      </c>
      <c r="O16" s="64">
        <v>117</v>
      </c>
      <c r="P16" s="64">
        <v>12</v>
      </c>
      <c r="Q16" s="64">
        <v>6</v>
      </c>
      <c r="R16" s="65">
        <f>S16+T16</f>
        <v>301</v>
      </c>
      <c r="S16" s="66">
        <f>39*7</f>
        <v>273</v>
      </c>
      <c r="T16" s="66">
        <f>4*7</f>
        <v>28</v>
      </c>
      <c r="U16" s="64"/>
      <c r="V16" s="31" t="s">
        <v>174</v>
      </c>
      <c r="W16" s="32"/>
      <c r="X16" s="33"/>
      <c r="Y16" s="33"/>
      <c r="Z16" s="33"/>
      <c r="AA16" s="33"/>
      <c r="AB16" s="33"/>
      <c r="AC16" s="33"/>
    </row>
    <row r="17" spans="1:29" s="15" customFormat="1" ht="25.5" customHeight="1">
      <c r="A17" s="60">
        <v>5</v>
      </c>
      <c r="B17" s="61" t="s">
        <v>191</v>
      </c>
      <c r="C17" s="62" t="s">
        <v>139</v>
      </c>
      <c r="D17" s="62" t="s">
        <v>181</v>
      </c>
      <c r="E17" s="62" t="s">
        <v>33</v>
      </c>
      <c r="F17" s="62" t="s">
        <v>133</v>
      </c>
      <c r="G17" s="63">
        <f t="shared" ref="G17:G18" si="16">H17+I17</f>
        <v>2353</v>
      </c>
      <c r="H17" s="64">
        <f t="shared" si="6"/>
        <v>2017</v>
      </c>
      <c r="I17" s="64">
        <f t="shared" si="7"/>
        <v>336</v>
      </c>
      <c r="J17" s="63">
        <f>SUM(K17:M17)</f>
        <v>2353</v>
      </c>
      <c r="K17" s="64">
        <v>2017</v>
      </c>
      <c r="L17" s="64">
        <v>215</v>
      </c>
      <c r="M17" s="64">
        <v>121</v>
      </c>
      <c r="N17" s="63">
        <f t="shared" ref="N17" si="17">SUM(O17:Q17)</f>
        <v>0</v>
      </c>
      <c r="O17" s="64"/>
      <c r="P17" s="64"/>
      <c r="Q17" s="64"/>
      <c r="R17" s="65">
        <f>S17+T17</f>
        <v>1290</v>
      </c>
      <c r="S17" s="66">
        <f>39*30</f>
        <v>1170</v>
      </c>
      <c r="T17" s="66">
        <f>4*30</f>
        <v>120</v>
      </c>
      <c r="U17" s="64"/>
      <c r="V17" s="31" t="s">
        <v>182</v>
      </c>
      <c r="W17" s="32"/>
      <c r="X17" s="33"/>
      <c r="Y17" s="33"/>
      <c r="Z17" s="33"/>
      <c r="AA17" s="33"/>
      <c r="AB17" s="33"/>
      <c r="AC17" s="33"/>
    </row>
    <row r="18" spans="1:29" s="15" customFormat="1" ht="25.5">
      <c r="A18" s="60">
        <v>6</v>
      </c>
      <c r="B18" s="61" t="s">
        <v>192</v>
      </c>
      <c r="C18" s="62" t="s">
        <v>140</v>
      </c>
      <c r="D18" s="62" t="s">
        <v>193</v>
      </c>
      <c r="E18" s="62" t="s">
        <v>27</v>
      </c>
      <c r="F18" s="62" t="s">
        <v>133</v>
      </c>
      <c r="G18" s="63">
        <f t="shared" si="16"/>
        <v>1300</v>
      </c>
      <c r="H18" s="64">
        <f t="shared" si="6"/>
        <v>1131</v>
      </c>
      <c r="I18" s="64">
        <f t="shared" si="7"/>
        <v>169</v>
      </c>
      <c r="J18" s="63">
        <f>SUM(K18:M18)</f>
        <v>1300</v>
      </c>
      <c r="K18" s="64">
        <v>1131</v>
      </c>
      <c r="L18" s="64">
        <v>113</v>
      </c>
      <c r="M18" s="64">
        <v>56</v>
      </c>
      <c r="N18" s="63">
        <f t="shared" si="15"/>
        <v>0</v>
      </c>
      <c r="O18" s="64"/>
      <c r="P18" s="64"/>
      <c r="Q18" s="64"/>
      <c r="R18" s="65">
        <f t="shared" si="10"/>
        <v>1244</v>
      </c>
      <c r="S18" s="66">
        <f>K18</f>
        <v>1131</v>
      </c>
      <c r="T18" s="66">
        <f>L18</f>
        <v>113</v>
      </c>
      <c r="U18" s="64"/>
      <c r="V18" s="31" t="s">
        <v>193</v>
      </c>
      <c r="W18" s="32"/>
      <c r="X18" s="33"/>
      <c r="Y18" s="33"/>
      <c r="Z18" s="33"/>
      <c r="AA18" s="33"/>
      <c r="AB18" s="33"/>
      <c r="AC18" s="33"/>
    </row>
    <row r="19" spans="1:29" s="15" customFormat="1" ht="26.25" customHeight="1">
      <c r="A19" s="60">
        <v>7</v>
      </c>
      <c r="B19" s="61" t="s">
        <v>176</v>
      </c>
      <c r="C19" s="62" t="s">
        <v>141</v>
      </c>
      <c r="D19" s="62" t="s">
        <v>171</v>
      </c>
      <c r="E19" s="62" t="s">
        <v>60</v>
      </c>
      <c r="F19" s="62" t="s">
        <v>133</v>
      </c>
      <c r="G19" s="63">
        <f>H19+I19</f>
        <v>313</v>
      </c>
      <c r="H19" s="64">
        <f t="shared" si="6"/>
        <v>273</v>
      </c>
      <c r="I19" s="64">
        <f t="shared" si="7"/>
        <v>40</v>
      </c>
      <c r="J19" s="63">
        <f>SUM(K19:M19)</f>
        <v>313</v>
      </c>
      <c r="K19" s="64">
        <v>273</v>
      </c>
      <c r="L19" s="64">
        <v>27</v>
      </c>
      <c r="M19" s="64">
        <v>13</v>
      </c>
      <c r="N19" s="63">
        <f t="shared" ref="N19:N20" si="18">SUM(O19:Q19)</f>
        <v>0</v>
      </c>
      <c r="O19" s="64"/>
      <c r="P19" s="64"/>
      <c r="Q19" s="64"/>
      <c r="R19" s="65">
        <f>S19+T19</f>
        <v>301</v>
      </c>
      <c r="S19" s="66">
        <f>39*7</f>
        <v>273</v>
      </c>
      <c r="T19" s="66">
        <f>4*7</f>
        <v>28</v>
      </c>
      <c r="U19" s="64"/>
      <c r="V19" s="31" t="s">
        <v>174</v>
      </c>
      <c r="W19" s="32"/>
      <c r="X19" s="33"/>
      <c r="Y19" s="33"/>
      <c r="Z19" s="33"/>
      <c r="AA19" s="33"/>
      <c r="AB19" s="33"/>
      <c r="AC19" s="33"/>
    </row>
    <row r="20" spans="1:29" s="15" customFormat="1" ht="29.25" customHeight="1">
      <c r="A20" s="60">
        <v>8</v>
      </c>
      <c r="B20" s="61" t="s">
        <v>200</v>
      </c>
      <c r="C20" s="62" t="s">
        <v>142</v>
      </c>
      <c r="D20" s="62" t="s">
        <v>198</v>
      </c>
      <c r="E20" s="62" t="s">
        <v>67</v>
      </c>
      <c r="F20" s="62" t="s">
        <v>133</v>
      </c>
      <c r="G20" s="63">
        <f t="shared" ref="G20" si="19">H20+I20</f>
        <v>1210</v>
      </c>
      <c r="H20" s="64">
        <f t="shared" ref="H20" si="20">K20</f>
        <v>1053</v>
      </c>
      <c r="I20" s="64">
        <f t="shared" ref="I20" si="21">L20+M20</f>
        <v>157</v>
      </c>
      <c r="J20" s="63">
        <f t="shared" ref="J20" si="22">SUM(K20:M20)</f>
        <v>1210</v>
      </c>
      <c r="K20" s="64">
        <v>1053</v>
      </c>
      <c r="L20" s="64">
        <v>105</v>
      </c>
      <c r="M20" s="64">
        <v>52</v>
      </c>
      <c r="N20" s="63">
        <f t="shared" si="18"/>
        <v>45</v>
      </c>
      <c r="O20" s="64">
        <v>39</v>
      </c>
      <c r="P20" s="64">
        <v>4</v>
      </c>
      <c r="Q20" s="64">
        <v>2</v>
      </c>
      <c r="R20" s="65">
        <f t="shared" ref="R20" si="23">S20+T20</f>
        <v>505</v>
      </c>
      <c r="S20" s="66">
        <f>(13*39)-41</f>
        <v>466</v>
      </c>
      <c r="T20" s="66">
        <f>(4*13)-13</f>
        <v>39</v>
      </c>
      <c r="U20" s="64"/>
      <c r="V20" s="31" t="s">
        <v>199</v>
      </c>
      <c r="W20" s="32" t="s">
        <v>231</v>
      </c>
      <c r="X20" s="33"/>
      <c r="Y20" s="33"/>
      <c r="Z20" s="33"/>
      <c r="AA20" s="33"/>
      <c r="AB20" s="33"/>
      <c r="AC20" s="33"/>
    </row>
    <row r="21" spans="1:29" s="15" customFormat="1" ht="25.5">
      <c r="A21" s="60">
        <v>9</v>
      </c>
      <c r="B21" s="61" t="s">
        <v>203</v>
      </c>
      <c r="C21" s="62" t="s">
        <v>137</v>
      </c>
      <c r="D21" s="62" t="s">
        <v>152</v>
      </c>
      <c r="E21" s="62" t="s">
        <v>64</v>
      </c>
      <c r="F21" s="62" t="s">
        <v>133</v>
      </c>
      <c r="G21" s="63">
        <f t="shared" ref="G21" si="24">H21+I21</f>
        <v>1882</v>
      </c>
      <c r="H21" s="64">
        <f t="shared" ref="H21" si="25">K21</f>
        <v>1638</v>
      </c>
      <c r="I21" s="64">
        <f t="shared" ref="I21" si="26">L21+M21</f>
        <v>244</v>
      </c>
      <c r="J21" s="63">
        <f t="shared" ref="J21" si="27">SUM(K21:M21)</f>
        <v>1882</v>
      </c>
      <c r="K21" s="64">
        <v>1638</v>
      </c>
      <c r="L21" s="64">
        <v>163</v>
      </c>
      <c r="M21" s="64">
        <v>81</v>
      </c>
      <c r="N21" s="63">
        <f t="shared" ref="N21" si="28">SUM(O21:Q21)</f>
        <v>0</v>
      </c>
      <c r="O21" s="64"/>
      <c r="P21" s="64"/>
      <c r="Q21" s="64"/>
      <c r="R21" s="65">
        <f t="shared" ref="R21" si="29">S21+T21</f>
        <v>387</v>
      </c>
      <c r="S21" s="66">
        <f>9*39</f>
        <v>351</v>
      </c>
      <c r="T21" s="66">
        <f>4*9</f>
        <v>36</v>
      </c>
      <c r="U21" s="64"/>
      <c r="V21" s="31" t="s">
        <v>204</v>
      </c>
      <c r="W21" s="32"/>
      <c r="X21" s="33"/>
      <c r="Y21" s="33"/>
      <c r="Z21" s="33"/>
      <c r="AA21" s="33"/>
      <c r="AB21" s="33"/>
      <c r="AC21" s="33"/>
    </row>
    <row r="22" spans="1:29" s="6" customFormat="1" ht="12.75">
      <c r="A22" s="44" t="s">
        <v>145</v>
      </c>
      <c r="B22" s="67" t="s">
        <v>146</v>
      </c>
      <c r="C22" s="68"/>
      <c r="D22" s="68"/>
      <c r="E22" s="68"/>
      <c r="F22" s="68"/>
      <c r="G22" s="49">
        <v>0</v>
      </c>
      <c r="H22" s="49">
        <v>0</v>
      </c>
      <c r="I22" s="49">
        <v>0</v>
      </c>
      <c r="J22" s="49">
        <v>0</v>
      </c>
      <c r="K22" s="49">
        <v>0</v>
      </c>
      <c r="L22" s="49">
        <v>0</v>
      </c>
      <c r="M22" s="49">
        <v>0</v>
      </c>
      <c r="N22" s="49">
        <v>0</v>
      </c>
      <c r="O22" s="49">
        <v>0</v>
      </c>
      <c r="P22" s="49">
        <v>0</v>
      </c>
      <c r="Q22" s="49">
        <v>0</v>
      </c>
      <c r="R22" s="50">
        <v>0</v>
      </c>
      <c r="S22" s="50">
        <v>0</v>
      </c>
      <c r="T22" s="50">
        <v>0</v>
      </c>
      <c r="U22" s="49"/>
      <c r="V22" s="19"/>
      <c r="W22" s="34"/>
      <c r="X22" s="35"/>
      <c r="Y22" s="35"/>
      <c r="Z22" s="35"/>
      <c r="AA22" s="35"/>
      <c r="AB22" s="35"/>
      <c r="AC22" s="35"/>
    </row>
    <row r="23" spans="1:29" s="6" customFormat="1" ht="12.75">
      <c r="A23" s="44" t="s">
        <v>147</v>
      </c>
      <c r="B23" s="67" t="s">
        <v>148</v>
      </c>
      <c r="C23" s="68"/>
      <c r="D23" s="68"/>
      <c r="E23" s="68"/>
      <c r="F23" s="68"/>
      <c r="G23" s="49">
        <v>0</v>
      </c>
      <c r="H23" s="49">
        <v>0</v>
      </c>
      <c r="I23" s="49">
        <v>0</v>
      </c>
      <c r="J23" s="49">
        <v>0</v>
      </c>
      <c r="K23" s="49">
        <v>0</v>
      </c>
      <c r="L23" s="49">
        <v>0</v>
      </c>
      <c r="M23" s="49">
        <v>0</v>
      </c>
      <c r="N23" s="49">
        <v>0</v>
      </c>
      <c r="O23" s="49">
        <v>0</v>
      </c>
      <c r="P23" s="49">
        <v>0</v>
      </c>
      <c r="Q23" s="49">
        <v>0</v>
      </c>
      <c r="R23" s="50">
        <v>0</v>
      </c>
      <c r="S23" s="50">
        <v>0</v>
      </c>
      <c r="T23" s="50">
        <v>0</v>
      </c>
      <c r="U23" s="49">
        <v>0</v>
      </c>
      <c r="V23" s="19"/>
      <c r="W23" s="34"/>
      <c r="X23" s="35"/>
      <c r="Y23" s="35"/>
      <c r="Z23" s="35"/>
      <c r="AA23" s="35"/>
      <c r="AB23" s="35"/>
      <c r="AC23" s="35"/>
    </row>
    <row r="24" spans="1:29">
      <c r="A24" s="44" t="s">
        <v>26</v>
      </c>
      <c r="B24" s="91" t="s">
        <v>4</v>
      </c>
      <c r="C24" s="91"/>
      <c r="D24" s="91"/>
      <c r="E24" s="91"/>
      <c r="F24" s="91"/>
      <c r="G24" s="49">
        <f>G26+G29</f>
        <v>19498</v>
      </c>
      <c r="H24" s="49">
        <f t="shared" ref="H24:T24" si="30">H26+H29</f>
        <v>16955</v>
      </c>
      <c r="I24" s="49">
        <f t="shared" si="30"/>
        <v>2543</v>
      </c>
      <c r="J24" s="49">
        <f t="shared" si="30"/>
        <v>18756</v>
      </c>
      <c r="K24" s="49">
        <f t="shared" si="30"/>
        <v>16309</v>
      </c>
      <c r="L24" s="49">
        <f t="shared" si="30"/>
        <v>1631</v>
      </c>
      <c r="M24" s="49">
        <f t="shared" si="30"/>
        <v>816</v>
      </c>
      <c r="N24" s="49">
        <f t="shared" si="30"/>
        <v>13115</v>
      </c>
      <c r="O24" s="49">
        <f t="shared" si="30"/>
        <v>11923</v>
      </c>
      <c r="P24" s="49">
        <f t="shared" si="30"/>
        <v>1192</v>
      </c>
      <c r="Q24" s="49">
        <f t="shared" si="30"/>
        <v>0</v>
      </c>
      <c r="R24" s="50">
        <f t="shared" si="30"/>
        <v>7839</v>
      </c>
      <c r="S24" s="50">
        <f t="shared" si="30"/>
        <v>7126</v>
      </c>
      <c r="T24" s="50">
        <f t="shared" si="30"/>
        <v>713</v>
      </c>
      <c r="U24" s="49"/>
      <c r="V24" s="19"/>
      <c r="W24" s="17">
        <f>X24+Y24</f>
        <v>7839</v>
      </c>
      <c r="X24" s="18">
        <v>7126</v>
      </c>
      <c r="Y24" s="18">
        <v>713</v>
      </c>
    </row>
    <row r="25" spans="1:29" ht="28.5" customHeight="1">
      <c r="A25" s="44" t="s">
        <v>0</v>
      </c>
      <c r="B25" s="51" t="s">
        <v>23</v>
      </c>
      <c r="C25" s="51"/>
      <c r="D25" s="51"/>
      <c r="E25" s="52"/>
      <c r="F25" s="44"/>
      <c r="G25" s="49"/>
      <c r="H25" s="49"/>
      <c r="I25" s="49"/>
      <c r="J25" s="49"/>
      <c r="K25" s="49"/>
      <c r="L25" s="49"/>
      <c r="M25" s="49"/>
      <c r="N25" s="49"/>
      <c r="O25" s="49"/>
      <c r="P25" s="49"/>
      <c r="Q25" s="49"/>
      <c r="R25" s="50"/>
      <c r="S25" s="50"/>
      <c r="T25" s="50"/>
      <c r="U25" s="49"/>
      <c r="V25" s="19"/>
      <c r="W25" s="28">
        <f>W24-R24</f>
        <v>0</v>
      </c>
      <c r="X25" s="28">
        <f t="shared" ref="X25:Y25" si="31">X24-S24</f>
        <v>0</v>
      </c>
      <c r="Y25" s="28">
        <f t="shared" si="31"/>
        <v>0</v>
      </c>
    </row>
    <row r="26" spans="1:29">
      <c r="A26" s="44" t="s">
        <v>1</v>
      </c>
      <c r="B26" s="51" t="s">
        <v>127</v>
      </c>
      <c r="C26" s="51"/>
      <c r="D26" s="51"/>
      <c r="E26" s="52"/>
      <c r="F26" s="44"/>
      <c r="G26" s="49">
        <f>G27+G28</f>
        <v>19498</v>
      </c>
      <c r="H26" s="49">
        <f t="shared" ref="H26:T26" si="32">H27+H28</f>
        <v>16955</v>
      </c>
      <c r="I26" s="49">
        <f t="shared" si="32"/>
        <v>2543</v>
      </c>
      <c r="J26" s="49">
        <f t="shared" si="32"/>
        <v>18756</v>
      </c>
      <c r="K26" s="49">
        <f t="shared" si="32"/>
        <v>16309</v>
      </c>
      <c r="L26" s="49">
        <f t="shared" si="32"/>
        <v>1631</v>
      </c>
      <c r="M26" s="49">
        <f t="shared" si="32"/>
        <v>816</v>
      </c>
      <c r="N26" s="49">
        <f t="shared" si="32"/>
        <v>13115</v>
      </c>
      <c r="O26" s="49">
        <f t="shared" si="32"/>
        <v>11923</v>
      </c>
      <c r="P26" s="49">
        <f t="shared" si="32"/>
        <v>1192</v>
      </c>
      <c r="Q26" s="49">
        <f t="shared" si="32"/>
        <v>0</v>
      </c>
      <c r="R26" s="50">
        <f t="shared" si="32"/>
        <v>4060</v>
      </c>
      <c r="S26" s="50">
        <f t="shared" si="32"/>
        <v>4026</v>
      </c>
      <c r="T26" s="50">
        <f t="shared" si="32"/>
        <v>34</v>
      </c>
      <c r="U26" s="49"/>
      <c r="V26" s="19"/>
    </row>
    <row r="27" spans="1:29" s="4" customFormat="1" ht="38.25">
      <c r="A27" s="69">
        <v>1</v>
      </c>
      <c r="B27" s="70" t="s">
        <v>31</v>
      </c>
      <c r="C27" s="71" t="s">
        <v>32</v>
      </c>
      <c r="D27" s="71" t="s">
        <v>97</v>
      </c>
      <c r="E27" s="71" t="s">
        <v>33</v>
      </c>
      <c r="F27" s="71" t="s">
        <v>34</v>
      </c>
      <c r="G27" s="49">
        <v>12431</v>
      </c>
      <c r="H27" s="43">
        <v>10809</v>
      </c>
      <c r="I27" s="43">
        <f>G27-H27</f>
        <v>1622</v>
      </c>
      <c r="J27" s="49">
        <f>SUM(K27:M27)</f>
        <v>11689</v>
      </c>
      <c r="K27" s="43">
        <v>10163</v>
      </c>
      <c r="L27" s="43">
        <v>1017</v>
      </c>
      <c r="M27" s="43">
        <v>509</v>
      </c>
      <c r="N27" s="49">
        <f>SUM(O27:Q27)</f>
        <v>10638</v>
      </c>
      <c r="O27" s="43">
        <v>10163</v>
      </c>
      <c r="P27" s="43">
        <v>475</v>
      </c>
      <c r="Q27" s="43"/>
      <c r="R27" s="50">
        <f>S27+T27</f>
        <v>34</v>
      </c>
      <c r="S27" s="72">
        <v>0</v>
      </c>
      <c r="T27" s="72">
        <v>34</v>
      </c>
      <c r="U27" s="43"/>
      <c r="V27" s="36"/>
      <c r="W27" s="30"/>
      <c r="X27" s="20"/>
      <c r="Y27" s="20"/>
      <c r="Z27" s="20"/>
      <c r="AA27" s="20"/>
      <c r="AB27" s="20"/>
      <c r="AC27" s="20"/>
    </row>
    <row r="28" spans="1:29" s="4" customFormat="1" ht="38.25">
      <c r="A28" s="69">
        <v>2</v>
      </c>
      <c r="B28" s="73" t="s">
        <v>122</v>
      </c>
      <c r="C28" s="71" t="s">
        <v>32</v>
      </c>
      <c r="D28" s="71" t="s">
        <v>123</v>
      </c>
      <c r="E28" s="71" t="s">
        <v>68</v>
      </c>
      <c r="F28" s="71" t="s">
        <v>124</v>
      </c>
      <c r="G28" s="49">
        <f>H28+I28</f>
        <v>7067</v>
      </c>
      <c r="H28" s="43">
        <v>6146</v>
      </c>
      <c r="I28" s="43">
        <v>921</v>
      </c>
      <c r="J28" s="49">
        <f>SUM(K28:M28)</f>
        <v>7067</v>
      </c>
      <c r="K28" s="43">
        <v>6146</v>
      </c>
      <c r="L28" s="43">
        <v>614</v>
      </c>
      <c r="M28" s="43">
        <v>307</v>
      </c>
      <c r="N28" s="49">
        <f>SUM(O28:Q28)</f>
        <v>2477</v>
      </c>
      <c r="O28" s="43">
        <v>1760</v>
      </c>
      <c r="P28" s="43">
        <v>717</v>
      </c>
      <c r="Q28" s="43"/>
      <c r="R28" s="50">
        <f>S28+T28</f>
        <v>4026</v>
      </c>
      <c r="S28" s="72">
        <v>4026</v>
      </c>
      <c r="T28" s="72">
        <v>0</v>
      </c>
      <c r="U28" s="43"/>
      <c r="V28" s="36"/>
      <c r="W28" s="30"/>
      <c r="X28" s="20"/>
      <c r="Y28" s="20"/>
      <c r="Z28" s="20"/>
      <c r="AA28" s="20"/>
      <c r="AB28" s="20"/>
      <c r="AC28" s="20"/>
    </row>
    <row r="29" spans="1:29">
      <c r="A29" s="44" t="s">
        <v>2</v>
      </c>
      <c r="B29" s="51" t="s">
        <v>128</v>
      </c>
      <c r="C29" s="51"/>
      <c r="D29" s="51"/>
      <c r="E29" s="52"/>
      <c r="F29" s="44"/>
      <c r="G29" s="49">
        <f>G30</f>
        <v>0</v>
      </c>
      <c r="H29" s="49">
        <f t="shared" ref="H29:T29" si="33">H30</f>
        <v>0</v>
      </c>
      <c r="I29" s="49">
        <f t="shared" si="33"/>
        <v>0</v>
      </c>
      <c r="J29" s="49">
        <f t="shared" si="33"/>
        <v>0</v>
      </c>
      <c r="K29" s="49">
        <f t="shared" si="33"/>
        <v>0</v>
      </c>
      <c r="L29" s="49">
        <f t="shared" si="33"/>
        <v>0</v>
      </c>
      <c r="M29" s="49">
        <f t="shared" si="33"/>
        <v>0</v>
      </c>
      <c r="N29" s="49">
        <f t="shared" si="33"/>
        <v>0</v>
      </c>
      <c r="O29" s="49">
        <f t="shared" si="33"/>
        <v>0</v>
      </c>
      <c r="P29" s="49">
        <f t="shared" si="33"/>
        <v>0</v>
      </c>
      <c r="Q29" s="49">
        <f t="shared" si="33"/>
        <v>0</v>
      </c>
      <c r="R29" s="50">
        <f t="shared" si="33"/>
        <v>3779</v>
      </c>
      <c r="S29" s="50">
        <f t="shared" si="33"/>
        <v>3100</v>
      </c>
      <c r="T29" s="50">
        <f t="shared" si="33"/>
        <v>679</v>
      </c>
      <c r="U29" s="49">
        <f t="shared" ref="U29" si="34">U30</f>
        <v>0</v>
      </c>
      <c r="V29" s="19"/>
      <c r="W29" s="37"/>
    </row>
    <row r="30" spans="1:29" s="4" customFormat="1" ht="27" customHeight="1">
      <c r="A30" s="69">
        <v>1</v>
      </c>
      <c r="B30" s="73" t="s">
        <v>208</v>
      </c>
      <c r="C30" s="71"/>
      <c r="D30" s="71"/>
      <c r="E30" s="71"/>
      <c r="F30" s="71"/>
      <c r="G30" s="49"/>
      <c r="H30" s="43"/>
      <c r="I30" s="43"/>
      <c r="J30" s="49"/>
      <c r="K30" s="43"/>
      <c r="L30" s="43"/>
      <c r="M30" s="43"/>
      <c r="N30" s="49">
        <v>0</v>
      </c>
      <c r="O30" s="43">
        <v>0</v>
      </c>
      <c r="P30" s="43">
        <v>0</v>
      </c>
      <c r="Q30" s="43"/>
      <c r="R30" s="50">
        <f>S30+T30</f>
        <v>3779</v>
      </c>
      <c r="S30" s="72">
        <v>3100</v>
      </c>
      <c r="T30" s="72">
        <v>679</v>
      </c>
      <c r="U30" s="43">
        <f>ROUNDUP(M117*0.35,0)</f>
        <v>0</v>
      </c>
      <c r="V30" s="36"/>
      <c r="W30" s="30"/>
      <c r="X30" s="20"/>
      <c r="Y30" s="20"/>
      <c r="Z30" s="20"/>
      <c r="AA30" s="20"/>
      <c r="AB30" s="20"/>
      <c r="AC30" s="20"/>
    </row>
    <row r="31" spans="1:29" ht="40.5" customHeight="1">
      <c r="A31" s="44" t="s">
        <v>36</v>
      </c>
      <c r="B31" s="91" t="s">
        <v>5</v>
      </c>
      <c r="C31" s="91"/>
      <c r="D31" s="91"/>
      <c r="E31" s="91"/>
      <c r="F31" s="91"/>
      <c r="G31" s="49">
        <f>G32</f>
        <v>167126.25</v>
      </c>
      <c r="H31" s="49">
        <f t="shared" ref="H31:T31" si="35">H32</f>
        <v>145329</v>
      </c>
      <c r="I31" s="49">
        <f t="shared" si="35"/>
        <v>21797.25</v>
      </c>
      <c r="J31" s="49">
        <f t="shared" si="35"/>
        <v>164114.25</v>
      </c>
      <c r="K31" s="49">
        <f t="shared" si="35"/>
        <v>142708</v>
      </c>
      <c r="L31" s="49">
        <f t="shared" si="35"/>
        <v>14271</v>
      </c>
      <c r="M31" s="49">
        <f t="shared" si="35"/>
        <v>7135.25</v>
      </c>
      <c r="N31" s="49">
        <f t="shared" si="35"/>
        <v>75175</v>
      </c>
      <c r="O31" s="49">
        <f t="shared" si="35"/>
        <v>68329</v>
      </c>
      <c r="P31" s="49">
        <f t="shared" si="35"/>
        <v>6846</v>
      </c>
      <c r="Q31" s="49">
        <f t="shared" si="35"/>
        <v>0</v>
      </c>
      <c r="R31" s="50">
        <f t="shared" si="35"/>
        <v>47901</v>
      </c>
      <c r="S31" s="50">
        <f t="shared" si="35"/>
        <v>43560</v>
      </c>
      <c r="T31" s="50">
        <f t="shared" si="35"/>
        <v>4341</v>
      </c>
      <c r="U31" s="49"/>
      <c r="V31" s="19"/>
      <c r="W31" s="17">
        <f>X31+Y31</f>
        <v>47901</v>
      </c>
      <c r="X31" s="18">
        <v>43560</v>
      </c>
      <c r="Y31" s="18">
        <v>4341</v>
      </c>
    </row>
    <row r="32" spans="1:29" s="5" customFormat="1" ht="24.75" customHeight="1">
      <c r="A32" s="74"/>
      <c r="B32" s="90" t="s">
        <v>3</v>
      </c>
      <c r="C32" s="90"/>
      <c r="D32" s="90"/>
      <c r="E32" s="90"/>
      <c r="F32" s="90"/>
      <c r="G32" s="75">
        <f t="shared" ref="G32:T32" si="36">G33+G50+G59</f>
        <v>167126.25</v>
      </c>
      <c r="H32" s="75">
        <f t="shared" si="36"/>
        <v>145329</v>
      </c>
      <c r="I32" s="75">
        <f t="shared" si="36"/>
        <v>21797.25</v>
      </c>
      <c r="J32" s="75">
        <f t="shared" si="36"/>
        <v>164114.25</v>
      </c>
      <c r="K32" s="75">
        <f t="shared" si="36"/>
        <v>142708</v>
      </c>
      <c r="L32" s="75">
        <f t="shared" si="36"/>
        <v>14271</v>
      </c>
      <c r="M32" s="75">
        <f t="shared" si="36"/>
        <v>7135.25</v>
      </c>
      <c r="N32" s="75">
        <f t="shared" si="36"/>
        <v>75175</v>
      </c>
      <c r="O32" s="75">
        <f t="shared" si="36"/>
        <v>68329</v>
      </c>
      <c r="P32" s="75">
        <f t="shared" si="36"/>
        <v>6846</v>
      </c>
      <c r="Q32" s="75">
        <f t="shared" si="36"/>
        <v>0</v>
      </c>
      <c r="R32" s="76">
        <f t="shared" si="36"/>
        <v>47901</v>
      </c>
      <c r="S32" s="76">
        <f t="shared" si="36"/>
        <v>43560</v>
      </c>
      <c r="T32" s="76">
        <f t="shared" si="36"/>
        <v>4341</v>
      </c>
      <c r="U32" s="75">
        <f>U33+U50</f>
        <v>0</v>
      </c>
      <c r="V32" s="12"/>
      <c r="W32" s="17">
        <f>R31-W31</f>
        <v>0</v>
      </c>
      <c r="X32" s="17">
        <f t="shared" ref="X32:Y32" si="37">S31-X31</f>
        <v>0</v>
      </c>
      <c r="Y32" s="17">
        <f t="shared" si="37"/>
        <v>0</v>
      </c>
    </row>
    <row r="33" spans="1:29">
      <c r="A33" s="44" t="s">
        <v>0</v>
      </c>
      <c r="B33" s="92" t="s">
        <v>232</v>
      </c>
      <c r="C33" s="93"/>
      <c r="D33" s="93"/>
      <c r="E33" s="94"/>
      <c r="F33" s="44"/>
      <c r="G33" s="46">
        <f t="shared" ref="G33:T33" si="38">SUM(G34:G49)</f>
        <v>84101.5</v>
      </c>
      <c r="H33" s="46">
        <f t="shared" si="38"/>
        <v>73132</v>
      </c>
      <c r="I33" s="46">
        <f t="shared" si="38"/>
        <v>10969.5</v>
      </c>
      <c r="J33" s="46">
        <f t="shared" si="38"/>
        <v>81089.5</v>
      </c>
      <c r="K33" s="46">
        <f t="shared" si="38"/>
        <v>70511</v>
      </c>
      <c r="L33" s="46">
        <f t="shared" si="38"/>
        <v>7057</v>
      </c>
      <c r="M33" s="46">
        <f t="shared" si="38"/>
        <v>3521.5</v>
      </c>
      <c r="N33" s="46">
        <f t="shared" si="38"/>
        <v>65302</v>
      </c>
      <c r="O33" s="46">
        <f t="shared" si="38"/>
        <v>59437</v>
      </c>
      <c r="P33" s="46">
        <f t="shared" si="38"/>
        <v>5865</v>
      </c>
      <c r="Q33" s="46">
        <f t="shared" si="38"/>
        <v>0</v>
      </c>
      <c r="R33" s="47">
        <f t="shared" si="38"/>
        <v>10756</v>
      </c>
      <c r="S33" s="47">
        <f t="shared" si="38"/>
        <v>9715</v>
      </c>
      <c r="T33" s="47">
        <f t="shared" si="38"/>
        <v>1041</v>
      </c>
      <c r="U33" s="49"/>
      <c r="V33" s="19"/>
      <c r="W33" s="28"/>
      <c r="X33" s="29"/>
    </row>
    <row r="34" spans="1:29" s="15" customFormat="1" ht="107.25" customHeight="1">
      <c r="A34" s="60">
        <v>1</v>
      </c>
      <c r="B34" s="61" t="s">
        <v>37</v>
      </c>
      <c r="C34" s="62" t="s">
        <v>32</v>
      </c>
      <c r="D34" s="62" t="s">
        <v>98</v>
      </c>
      <c r="E34" s="62" t="s">
        <v>58</v>
      </c>
      <c r="F34" s="62" t="s">
        <v>30</v>
      </c>
      <c r="G34" s="63">
        <f>H34+I34</f>
        <v>3912</v>
      </c>
      <c r="H34" s="64">
        <v>3400</v>
      </c>
      <c r="I34" s="64">
        <v>512</v>
      </c>
      <c r="J34" s="63">
        <f>SUM(K34:M34)</f>
        <v>3824</v>
      </c>
      <c r="K34" s="64">
        <v>3323</v>
      </c>
      <c r="L34" s="64">
        <v>333</v>
      </c>
      <c r="M34" s="64">
        <v>168</v>
      </c>
      <c r="N34" s="63">
        <f>SUM(O34:Q34)</f>
        <v>3091</v>
      </c>
      <c r="O34" s="64">
        <v>2811</v>
      </c>
      <c r="P34" s="64">
        <v>280</v>
      </c>
      <c r="Q34" s="64"/>
      <c r="R34" s="65">
        <f>S34+T34</f>
        <v>498</v>
      </c>
      <c r="S34" s="66">
        <v>452</v>
      </c>
      <c r="T34" s="66">
        <v>46</v>
      </c>
      <c r="U34" s="63"/>
      <c r="V34" s="38">
        <f>K34-O34-S34</f>
        <v>60</v>
      </c>
      <c r="W34" s="38">
        <f>L34-P34-T34</f>
        <v>7</v>
      </c>
      <c r="X34" s="33">
        <f t="shared" ref="X34" si="39">W34/J34*100</f>
        <v>0.18305439330543932</v>
      </c>
      <c r="Y34" s="32">
        <f t="shared" ref="Y34:Y38" si="40">S34+T34</f>
        <v>498</v>
      </c>
      <c r="Z34" s="33"/>
      <c r="AA34" s="33"/>
      <c r="AB34" s="33"/>
      <c r="AC34" s="33"/>
    </row>
    <row r="35" spans="1:29" s="15" customFormat="1" ht="38.25">
      <c r="A35" s="60">
        <v>2</v>
      </c>
      <c r="B35" s="61" t="s">
        <v>38</v>
      </c>
      <c r="C35" s="62" t="s">
        <v>32</v>
      </c>
      <c r="D35" s="62" t="s">
        <v>99</v>
      </c>
      <c r="E35" s="62" t="s">
        <v>59</v>
      </c>
      <c r="F35" s="62" t="s">
        <v>30</v>
      </c>
      <c r="G35" s="63">
        <f t="shared" ref="G35:G49" si="41">H35+I35</f>
        <v>1552</v>
      </c>
      <c r="H35" s="64">
        <v>1350</v>
      </c>
      <c r="I35" s="64">
        <v>202</v>
      </c>
      <c r="J35" s="63">
        <f t="shared" ref="J35" si="42">SUM(K35:M35)</f>
        <v>1548</v>
      </c>
      <c r="K35" s="64">
        <v>1346</v>
      </c>
      <c r="L35" s="64">
        <v>135</v>
      </c>
      <c r="M35" s="64">
        <v>67</v>
      </c>
      <c r="N35" s="63">
        <f t="shared" ref="N35:N49" si="43">SUM(O35:Q35)</f>
        <v>1275</v>
      </c>
      <c r="O35" s="64">
        <v>1165</v>
      </c>
      <c r="P35" s="64">
        <v>110</v>
      </c>
      <c r="Q35" s="64"/>
      <c r="R35" s="65">
        <f t="shared" ref="R35:R49" si="44">S35+T35</f>
        <v>196</v>
      </c>
      <c r="S35" s="66">
        <v>172</v>
      </c>
      <c r="T35" s="66">
        <v>24</v>
      </c>
      <c r="U35" s="63"/>
      <c r="V35" s="38">
        <f t="shared" ref="V35:V64" si="45">K35-O35-S35</f>
        <v>9</v>
      </c>
      <c r="W35" s="38">
        <f t="shared" ref="W35:W64" si="46">L35-P35-T35</f>
        <v>1</v>
      </c>
      <c r="X35" s="33">
        <f t="shared" ref="X35:X49" si="47">W35/J35*100</f>
        <v>6.4599483204134375E-2</v>
      </c>
      <c r="Y35" s="32">
        <f t="shared" si="40"/>
        <v>196</v>
      </c>
      <c r="Z35" s="33"/>
      <c r="AA35" s="33"/>
      <c r="AB35" s="33"/>
      <c r="AC35" s="33"/>
    </row>
    <row r="36" spans="1:29" s="15" customFormat="1" ht="38.25">
      <c r="A36" s="60">
        <v>3</v>
      </c>
      <c r="B36" s="61" t="s">
        <v>42</v>
      </c>
      <c r="C36" s="62" t="s">
        <v>32</v>
      </c>
      <c r="D36" s="62" t="s">
        <v>101</v>
      </c>
      <c r="E36" s="62" t="s">
        <v>35</v>
      </c>
      <c r="F36" s="62" t="s">
        <v>30</v>
      </c>
      <c r="G36" s="63">
        <f t="shared" si="41"/>
        <v>11186</v>
      </c>
      <c r="H36" s="64">
        <v>9727</v>
      </c>
      <c r="I36" s="64">
        <v>1459</v>
      </c>
      <c r="J36" s="63">
        <f t="shared" ref="J36:J37" si="48">SUM(K36:M36)</f>
        <v>9605</v>
      </c>
      <c r="K36" s="64">
        <v>8352</v>
      </c>
      <c r="L36" s="64">
        <v>836</v>
      </c>
      <c r="M36" s="64">
        <v>417</v>
      </c>
      <c r="N36" s="63">
        <f t="shared" si="43"/>
        <v>8443</v>
      </c>
      <c r="O36" s="64">
        <v>7677</v>
      </c>
      <c r="P36" s="64">
        <v>766</v>
      </c>
      <c r="Q36" s="64"/>
      <c r="R36" s="65">
        <f t="shared" si="44"/>
        <v>719</v>
      </c>
      <c r="S36" s="66">
        <v>652</v>
      </c>
      <c r="T36" s="66">
        <v>67</v>
      </c>
      <c r="U36" s="63"/>
      <c r="V36" s="38">
        <f t="shared" si="45"/>
        <v>23</v>
      </c>
      <c r="W36" s="38">
        <f t="shared" si="46"/>
        <v>3</v>
      </c>
      <c r="X36" s="33">
        <f t="shared" si="47"/>
        <v>3.1233732431025507E-2</v>
      </c>
      <c r="Y36" s="32">
        <f t="shared" si="40"/>
        <v>719</v>
      </c>
      <c r="Z36" s="33"/>
      <c r="AA36" s="33"/>
      <c r="AB36" s="33"/>
      <c r="AC36" s="33"/>
    </row>
    <row r="37" spans="1:29" s="15" customFormat="1" ht="38.25">
      <c r="A37" s="60">
        <v>4</v>
      </c>
      <c r="B37" s="61" t="s">
        <v>43</v>
      </c>
      <c r="C37" s="62" t="s">
        <v>32</v>
      </c>
      <c r="D37" s="62" t="s">
        <v>102</v>
      </c>
      <c r="E37" s="62" t="s">
        <v>61</v>
      </c>
      <c r="F37" s="62" t="s">
        <v>30</v>
      </c>
      <c r="G37" s="63">
        <f t="shared" si="41"/>
        <v>10166</v>
      </c>
      <c r="H37" s="64">
        <v>8840</v>
      </c>
      <c r="I37" s="64">
        <v>1326</v>
      </c>
      <c r="J37" s="63">
        <f t="shared" si="48"/>
        <v>10134</v>
      </c>
      <c r="K37" s="64">
        <v>8812</v>
      </c>
      <c r="L37" s="64">
        <v>882</v>
      </c>
      <c r="M37" s="64">
        <v>440</v>
      </c>
      <c r="N37" s="63">
        <f t="shared" si="43"/>
        <v>7905</v>
      </c>
      <c r="O37" s="64">
        <v>7186</v>
      </c>
      <c r="P37" s="64">
        <v>719</v>
      </c>
      <c r="Q37" s="64"/>
      <c r="R37" s="65">
        <f t="shared" si="44"/>
        <v>1401</v>
      </c>
      <c r="S37" s="66">
        <v>1282</v>
      </c>
      <c r="T37" s="66">
        <v>119</v>
      </c>
      <c r="U37" s="63"/>
      <c r="V37" s="38">
        <f t="shared" si="45"/>
        <v>344</v>
      </c>
      <c r="W37" s="38">
        <f t="shared" si="46"/>
        <v>44</v>
      </c>
      <c r="X37" s="33">
        <f t="shared" si="47"/>
        <v>0.43418196171304518</v>
      </c>
      <c r="Y37" s="32">
        <f t="shared" si="40"/>
        <v>1401</v>
      </c>
      <c r="Z37" s="33"/>
      <c r="AA37" s="33"/>
      <c r="AB37" s="33"/>
      <c r="AC37" s="33"/>
    </row>
    <row r="38" spans="1:29" s="15" customFormat="1" ht="105" customHeight="1">
      <c r="A38" s="60">
        <v>5</v>
      </c>
      <c r="B38" s="61" t="s">
        <v>44</v>
      </c>
      <c r="C38" s="62" t="s">
        <v>32</v>
      </c>
      <c r="D38" s="62" t="s">
        <v>103</v>
      </c>
      <c r="E38" s="62" t="s">
        <v>62</v>
      </c>
      <c r="F38" s="62" t="s">
        <v>30</v>
      </c>
      <c r="G38" s="63">
        <f t="shared" si="41"/>
        <v>2444</v>
      </c>
      <c r="H38" s="64">
        <v>2125</v>
      </c>
      <c r="I38" s="64">
        <v>319</v>
      </c>
      <c r="J38" s="63">
        <f t="shared" ref="J38:J41" si="49">SUM(K38:M38)</f>
        <v>2434</v>
      </c>
      <c r="K38" s="64">
        <v>2116</v>
      </c>
      <c r="L38" s="64">
        <v>213</v>
      </c>
      <c r="M38" s="64">
        <v>105</v>
      </c>
      <c r="N38" s="63">
        <f t="shared" si="43"/>
        <v>1945</v>
      </c>
      <c r="O38" s="64">
        <v>1767</v>
      </c>
      <c r="P38" s="64">
        <v>178</v>
      </c>
      <c r="Q38" s="64"/>
      <c r="R38" s="65">
        <f t="shared" si="44"/>
        <v>349</v>
      </c>
      <c r="S38" s="66">
        <v>318</v>
      </c>
      <c r="T38" s="66">
        <v>31</v>
      </c>
      <c r="U38" s="63"/>
      <c r="V38" s="38">
        <f t="shared" si="45"/>
        <v>31</v>
      </c>
      <c r="W38" s="38">
        <f t="shared" si="46"/>
        <v>4</v>
      </c>
      <c r="X38" s="33">
        <f t="shared" si="47"/>
        <v>0.16433853738701726</v>
      </c>
      <c r="Y38" s="32">
        <f t="shared" si="40"/>
        <v>349</v>
      </c>
      <c r="Z38" s="33"/>
      <c r="AA38" s="33"/>
      <c r="AB38" s="33"/>
      <c r="AC38" s="33"/>
    </row>
    <row r="39" spans="1:29" s="15" customFormat="1" ht="70.5" customHeight="1">
      <c r="A39" s="60">
        <v>6</v>
      </c>
      <c r="B39" s="61" t="s">
        <v>70</v>
      </c>
      <c r="C39" s="62" t="s">
        <v>32</v>
      </c>
      <c r="D39" s="62" t="s">
        <v>104</v>
      </c>
      <c r="E39" s="62" t="s">
        <v>63</v>
      </c>
      <c r="F39" s="62" t="s">
        <v>30</v>
      </c>
      <c r="G39" s="63">
        <f t="shared" si="41"/>
        <v>2371</v>
      </c>
      <c r="H39" s="64">
        <v>2062</v>
      </c>
      <c r="I39" s="64">
        <v>309</v>
      </c>
      <c r="J39" s="63">
        <f t="shared" si="49"/>
        <v>2364</v>
      </c>
      <c r="K39" s="64">
        <v>2055</v>
      </c>
      <c r="L39" s="64">
        <v>206</v>
      </c>
      <c r="M39" s="64">
        <v>103</v>
      </c>
      <c r="N39" s="63">
        <f t="shared" si="43"/>
        <v>1939</v>
      </c>
      <c r="O39" s="64">
        <v>1759</v>
      </c>
      <c r="P39" s="64">
        <v>180</v>
      </c>
      <c r="Q39" s="64"/>
      <c r="R39" s="65">
        <f t="shared" si="44"/>
        <v>307</v>
      </c>
      <c r="S39" s="66">
        <v>283</v>
      </c>
      <c r="T39" s="66">
        <v>24</v>
      </c>
      <c r="U39" s="63"/>
      <c r="V39" s="38">
        <f t="shared" si="45"/>
        <v>13</v>
      </c>
      <c r="W39" s="38">
        <f t="shared" si="46"/>
        <v>2</v>
      </c>
      <c r="X39" s="33">
        <f t="shared" si="47"/>
        <v>8.4602368866328256E-2</v>
      </c>
      <c r="Y39" s="32">
        <f>K40/J40</f>
        <v>0.86956521739130432</v>
      </c>
      <c r="Z39" s="33">
        <f>L40/J40</f>
        <v>8.6956521739130432E-2</v>
      </c>
      <c r="AA39" s="33"/>
      <c r="AB39" s="33"/>
      <c r="AC39" s="33"/>
    </row>
    <row r="40" spans="1:29" s="4" customFormat="1" ht="38.25">
      <c r="A40" s="60">
        <v>7</v>
      </c>
      <c r="B40" s="70" t="s">
        <v>45</v>
      </c>
      <c r="C40" s="71" t="s">
        <v>55</v>
      </c>
      <c r="D40" s="71" t="s">
        <v>105</v>
      </c>
      <c r="E40" s="71" t="s">
        <v>63</v>
      </c>
      <c r="F40" s="71" t="s">
        <v>30</v>
      </c>
      <c r="G40" s="49">
        <f t="shared" si="41"/>
        <v>1380</v>
      </c>
      <c r="H40" s="43">
        <v>1200</v>
      </c>
      <c r="I40" s="43">
        <v>180</v>
      </c>
      <c r="J40" s="49">
        <f t="shared" si="49"/>
        <v>1380</v>
      </c>
      <c r="K40" s="43">
        <v>1200</v>
      </c>
      <c r="L40" s="43">
        <v>120</v>
      </c>
      <c r="M40" s="43">
        <v>60</v>
      </c>
      <c r="N40" s="49">
        <f t="shared" si="43"/>
        <v>1232</v>
      </c>
      <c r="O40" s="43">
        <v>1120</v>
      </c>
      <c r="P40" s="43">
        <v>112</v>
      </c>
      <c r="Q40" s="43"/>
      <c r="R40" s="65">
        <f t="shared" si="44"/>
        <v>85</v>
      </c>
      <c r="S40" s="72">
        <f>1197-O40</f>
        <v>77</v>
      </c>
      <c r="T40" s="72">
        <f>120-P40</f>
        <v>8</v>
      </c>
      <c r="U40" s="49"/>
      <c r="V40" s="19">
        <f t="shared" si="45"/>
        <v>3</v>
      </c>
      <c r="W40" s="19">
        <f t="shared" si="46"/>
        <v>0</v>
      </c>
      <c r="X40" s="20">
        <f>1380-3</f>
        <v>1377</v>
      </c>
      <c r="Y40" s="21">
        <f>Y39*X40</f>
        <v>1197.391304347826</v>
      </c>
      <c r="Z40" s="20">
        <f>Z39*X40</f>
        <v>119.73913043478261</v>
      </c>
      <c r="AA40" s="21">
        <f>X40-Y40-Z40</f>
        <v>59.869565217391383</v>
      </c>
      <c r="AB40" s="20"/>
      <c r="AC40" s="20"/>
    </row>
    <row r="41" spans="1:29" s="4" customFormat="1" ht="38.25">
      <c r="A41" s="60">
        <v>8</v>
      </c>
      <c r="B41" s="70" t="s">
        <v>46</v>
      </c>
      <c r="C41" s="71" t="s">
        <v>32</v>
      </c>
      <c r="D41" s="71" t="s">
        <v>106</v>
      </c>
      <c r="E41" s="71" t="s">
        <v>64</v>
      </c>
      <c r="F41" s="71" t="s">
        <v>30</v>
      </c>
      <c r="G41" s="49">
        <f t="shared" si="41"/>
        <v>4807</v>
      </c>
      <c r="H41" s="43">
        <v>4180</v>
      </c>
      <c r="I41" s="43">
        <v>627</v>
      </c>
      <c r="J41" s="49">
        <f t="shared" si="49"/>
        <v>4512</v>
      </c>
      <c r="K41" s="43">
        <v>3923</v>
      </c>
      <c r="L41" s="43">
        <v>393</v>
      </c>
      <c r="M41" s="43">
        <v>196</v>
      </c>
      <c r="N41" s="49">
        <f t="shared" si="43"/>
        <v>3270</v>
      </c>
      <c r="O41" s="43">
        <v>2972</v>
      </c>
      <c r="P41" s="43">
        <v>298</v>
      </c>
      <c r="Q41" s="43"/>
      <c r="R41" s="65">
        <f t="shared" si="44"/>
        <v>1000</v>
      </c>
      <c r="S41" s="72">
        <v>910</v>
      </c>
      <c r="T41" s="72">
        <v>90</v>
      </c>
      <c r="U41" s="49"/>
      <c r="V41" s="19">
        <f t="shared" si="45"/>
        <v>41</v>
      </c>
      <c r="W41" s="19">
        <f t="shared" si="46"/>
        <v>5</v>
      </c>
      <c r="X41" s="20">
        <f t="shared" si="47"/>
        <v>0.11081560283687944</v>
      </c>
      <c r="Y41" s="21">
        <f>S41+T41</f>
        <v>1000</v>
      </c>
      <c r="Z41" s="20"/>
      <c r="AA41" s="21"/>
      <c r="AB41" s="20"/>
      <c r="AC41" s="20"/>
    </row>
    <row r="42" spans="1:29" s="4" customFormat="1" ht="38.25">
      <c r="A42" s="60">
        <v>9</v>
      </c>
      <c r="B42" s="70" t="s">
        <v>47</v>
      </c>
      <c r="C42" s="71" t="s">
        <v>56</v>
      </c>
      <c r="D42" s="71" t="s">
        <v>107</v>
      </c>
      <c r="E42" s="71" t="s">
        <v>65</v>
      </c>
      <c r="F42" s="71" t="s">
        <v>30</v>
      </c>
      <c r="G42" s="49">
        <f t="shared" si="41"/>
        <v>1116</v>
      </c>
      <c r="H42" s="43">
        <v>970</v>
      </c>
      <c r="I42" s="43">
        <v>146</v>
      </c>
      <c r="J42" s="49">
        <f t="shared" ref="J42:J49" si="50">SUM(K42:M42)</f>
        <v>1116</v>
      </c>
      <c r="K42" s="43">
        <v>970</v>
      </c>
      <c r="L42" s="43">
        <v>97</v>
      </c>
      <c r="M42" s="43">
        <v>49</v>
      </c>
      <c r="N42" s="49">
        <f t="shared" si="43"/>
        <v>996</v>
      </c>
      <c r="O42" s="43">
        <v>906</v>
      </c>
      <c r="P42" s="43">
        <v>90</v>
      </c>
      <c r="Q42" s="43"/>
      <c r="R42" s="65">
        <f t="shared" si="44"/>
        <v>64</v>
      </c>
      <c r="S42" s="72">
        <v>60</v>
      </c>
      <c r="T42" s="72">
        <v>4</v>
      </c>
      <c r="U42" s="49"/>
      <c r="V42" s="19">
        <f t="shared" si="45"/>
        <v>4</v>
      </c>
      <c r="W42" s="19">
        <f t="shared" si="46"/>
        <v>3</v>
      </c>
      <c r="X42" s="20">
        <f t="shared" si="47"/>
        <v>0.26881720430107531</v>
      </c>
      <c r="Y42" s="21"/>
      <c r="Z42" s="20"/>
      <c r="AA42" s="21"/>
      <c r="AB42" s="20"/>
      <c r="AC42" s="20"/>
    </row>
    <row r="43" spans="1:29" s="4" customFormat="1" ht="38.25">
      <c r="A43" s="60">
        <v>10</v>
      </c>
      <c r="B43" s="70" t="s">
        <v>48</v>
      </c>
      <c r="C43" s="71" t="s">
        <v>32</v>
      </c>
      <c r="D43" s="71" t="s">
        <v>106</v>
      </c>
      <c r="E43" s="71" t="s">
        <v>66</v>
      </c>
      <c r="F43" s="71" t="s">
        <v>30</v>
      </c>
      <c r="G43" s="49">
        <f t="shared" si="41"/>
        <v>5510</v>
      </c>
      <c r="H43" s="43">
        <v>4792</v>
      </c>
      <c r="I43" s="43">
        <v>718</v>
      </c>
      <c r="J43" s="49">
        <f t="shared" si="50"/>
        <v>5101</v>
      </c>
      <c r="K43" s="43">
        <v>4436</v>
      </c>
      <c r="L43" s="43">
        <v>444</v>
      </c>
      <c r="M43" s="43">
        <v>221</v>
      </c>
      <c r="N43" s="49">
        <f t="shared" si="43"/>
        <v>4169</v>
      </c>
      <c r="O43" s="43">
        <v>3790</v>
      </c>
      <c r="P43" s="43">
        <v>379</v>
      </c>
      <c r="Q43" s="43"/>
      <c r="R43" s="65">
        <f t="shared" si="44"/>
        <v>613</v>
      </c>
      <c r="S43" s="72">
        <v>557</v>
      </c>
      <c r="T43" s="72">
        <v>56</v>
      </c>
      <c r="U43" s="49"/>
      <c r="V43" s="19">
        <f t="shared" si="45"/>
        <v>89</v>
      </c>
      <c r="W43" s="19">
        <f t="shared" si="46"/>
        <v>9</v>
      </c>
      <c r="X43" s="20">
        <f t="shared" si="47"/>
        <v>0.17643599294256027</v>
      </c>
      <c r="Y43" s="21">
        <f t="shared" ref="Y43:Y46" si="51">S43+T43</f>
        <v>613</v>
      </c>
      <c r="Z43" s="20"/>
      <c r="AA43" s="21"/>
      <c r="AB43" s="20"/>
      <c r="AC43" s="20"/>
    </row>
    <row r="44" spans="1:29" s="4" customFormat="1" ht="63.75" customHeight="1">
      <c r="A44" s="60">
        <v>11</v>
      </c>
      <c r="B44" s="70" t="s">
        <v>49</v>
      </c>
      <c r="C44" s="71" t="s">
        <v>32</v>
      </c>
      <c r="D44" s="71" t="s">
        <v>110</v>
      </c>
      <c r="E44" s="71" t="s">
        <v>33</v>
      </c>
      <c r="F44" s="71" t="s">
        <v>30</v>
      </c>
      <c r="G44" s="49">
        <f t="shared" si="41"/>
        <v>6968</v>
      </c>
      <c r="H44" s="43">
        <v>6059</v>
      </c>
      <c r="I44" s="43">
        <v>909</v>
      </c>
      <c r="J44" s="49">
        <f t="shared" si="50"/>
        <v>6968</v>
      </c>
      <c r="K44" s="43">
        <v>6059</v>
      </c>
      <c r="L44" s="43">
        <v>606</v>
      </c>
      <c r="M44" s="43">
        <v>303</v>
      </c>
      <c r="N44" s="49">
        <f t="shared" si="43"/>
        <v>5609</v>
      </c>
      <c r="O44" s="43">
        <v>5099</v>
      </c>
      <c r="P44" s="43">
        <v>510</v>
      </c>
      <c r="Q44" s="43"/>
      <c r="R44" s="65">
        <f t="shared" si="44"/>
        <v>877</v>
      </c>
      <c r="S44" s="72">
        <v>798</v>
      </c>
      <c r="T44" s="72">
        <v>79</v>
      </c>
      <c r="U44" s="49"/>
      <c r="V44" s="19">
        <f t="shared" si="45"/>
        <v>162</v>
      </c>
      <c r="W44" s="19">
        <f t="shared" si="46"/>
        <v>17</v>
      </c>
      <c r="X44" s="20">
        <f t="shared" si="47"/>
        <v>0.24397244546498276</v>
      </c>
      <c r="Y44" s="21">
        <f t="shared" si="51"/>
        <v>877</v>
      </c>
      <c r="Z44" s="20"/>
      <c r="AA44" s="21"/>
      <c r="AB44" s="20"/>
      <c r="AC44" s="20"/>
    </row>
    <row r="45" spans="1:29" s="4" customFormat="1" ht="138" customHeight="1">
      <c r="A45" s="60">
        <v>12</v>
      </c>
      <c r="B45" s="70" t="s">
        <v>50</v>
      </c>
      <c r="C45" s="71" t="s">
        <v>32</v>
      </c>
      <c r="D45" s="71" t="s">
        <v>111</v>
      </c>
      <c r="E45" s="71" t="s">
        <v>27</v>
      </c>
      <c r="F45" s="71" t="s">
        <v>30</v>
      </c>
      <c r="G45" s="49">
        <f t="shared" si="41"/>
        <v>4979</v>
      </c>
      <c r="H45" s="43">
        <v>4330</v>
      </c>
      <c r="I45" s="43">
        <v>649</v>
      </c>
      <c r="J45" s="49">
        <f t="shared" si="50"/>
        <v>4724</v>
      </c>
      <c r="K45" s="43">
        <v>4108</v>
      </c>
      <c r="L45" s="43">
        <v>411</v>
      </c>
      <c r="M45" s="43">
        <v>205</v>
      </c>
      <c r="N45" s="49">
        <f t="shared" si="43"/>
        <v>4262</v>
      </c>
      <c r="O45" s="43">
        <v>3918</v>
      </c>
      <c r="P45" s="43">
        <v>344</v>
      </c>
      <c r="Q45" s="43"/>
      <c r="R45" s="65">
        <f t="shared" si="44"/>
        <v>209</v>
      </c>
      <c r="S45" s="72">
        <v>146</v>
      </c>
      <c r="T45" s="72">
        <v>63</v>
      </c>
      <c r="U45" s="49"/>
      <c r="V45" s="19">
        <f t="shared" si="45"/>
        <v>44</v>
      </c>
      <c r="W45" s="19">
        <f t="shared" si="46"/>
        <v>4</v>
      </c>
      <c r="X45" s="20">
        <f t="shared" si="47"/>
        <v>8.4674005080440304E-2</v>
      </c>
      <c r="Y45" s="21">
        <f t="shared" si="51"/>
        <v>209</v>
      </c>
      <c r="Z45" s="20"/>
      <c r="AA45" s="21"/>
      <c r="AB45" s="20"/>
      <c r="AC45" s="20"/>
    </row>
    <row r="46" spans="1:29" s="4" customFormat="1" ht="118.5" customHeight="1">
      <c r="A46" s="60">
        <v>13</v>
      </c>
      <c r="B46" s="70" t="s">
        <v>51</v>
      </c>
      <c r="C46" s="71" t="s">
        <v>32</v>
      </c>
      <c r="D46" s="71" t="s">
        <v>112</v>
      </c>
      <c r="E46" s="71" t="s">
        <v>68</v>
      </c>
      <c r="F46" s="71" t="s">
        <v>30</v>
      </c>
      <c r="G46" s="49">
        <f t="shared" si="41"/>
        <v>5017</v>
      </c>
      <c r="H46" s="43">
        <v>4363</v>
      </c>
      <c r="I46" s="43">
        <v>654</v>
      </c>
      <c r="J46" s="49">
        <f t="shared" si="50"/>
        <v>4894</v>
      </c>
      <c r="K46" s="43">
        <v>4256</v>
      </c>
      <c r="L46" s="43">
        <v>426</v>
      </c>
      <c r="M46" s="43">
        <v>212</v>
      </c>
      <c r="N46" s="49">
        <f t="shared" si="43"/>
        <v>3400</v>
      </c>
      <c r="O46" s="43">
        <v>3091</v>
      </c>
      <c r="P46" s="43">
        <v>309</v>
      </c>
      <c r="Q46" s="43"/>
      <c r="R46" s="65">
        <f t="shared" si="44"/>
        <v>1264</v>
      </c>
      <c r="S46" s="72">
        <v>1149</v>
      </c>
      <c r="T46" s="72">
        <v>115</v>
      </c>
      <c r="U46" s="49"/>
      <c r="V46" s="19">
        <f t="shared" si="45"/>
        <v>16</v>
      </c>
      <c r="W46" s="19">
        <f t="shared" si="46"/>
        <v>2</v>
      </c>
      <c r="X46" s="20">
        <f t="shared" si="47"/>
        <v>4.0866366979975477E-2</v>
      </c>
      <c r="Y46" s="21">
        <f t="shared" si="51"/>
        <v>1264</v>
      </c>
      <c r="Z46" s="20"/>
      <c r="AA46" s="21">
        <f>K49/J49</f>
        <v>0.86956521739130432</v>
      </c>
      <c r="AB46" s="20">
        <f>L49/J49</f>
        <v>8.6956521739130432E-2</v>
      </c>
      <c r="AC46" s="20"/>
    </row>
    <row r="47" spans="1:29" s="4" customFormat="1" ht="38.25">
      <c r="A47" s="60">
        <v>14</v>
      </c>
      <c r="B47" s="70" t="s">
        <v>39</v>
      </c>
      <c r="C47" s="71" t="s">
        <v>32</v>
      </c>
      <c r="D47" s="71" t="s">
        <v>100</v>
      </c>
      <c r="E47" s="71" t="s">
        <v>60</v>
      </c>
      <c r="F47" s="71" t="s">
        <v>34</v>
      </c>
      <c r="G47" s="49">
        <f>H47+I47</f>
        <v>10350</v>
      </c>
      <c r="H47" s="43">
        <v>9000</v>
      </c>
      <c r="I47" s="43">
        <v>1350</v>
      </c>
      <c r="J47" s="49">
        <f>SUM(K47:M47)</f>
        <v>10350</v>
      </c>
      <c r="K47" s="43">
        <v>9000</v>
      </c>
      <c r="L47" s="43">
        <v>900</v>
      </c>
      <c r="M47" s="43">
        <v>450</v>
      </c>
      <c r="N47" s="49">
        <f>SUM(O47:Q47)</f>
        <v>8266</v>
      </c>
      <c r="O47" s="43">
        <v>7515</v>
      </c>
      <c r="P47" s="43">
        <v>751</v>
      </c>
      <c r="Q47" s="43"/>
      <c r="R47" s="65">
        <f t="shared" si="44"/>
        <v>1146</v>
      </c>
      <c r="S47" s="72">
        <v>1041</v>
      </c>
      <c r="T47" s="72">
        <v>105</v>
      </c>
      <c r="U47" s="49"/>
      <c r="V47" s="19">
        <f t="shared" ref="V47:W48" si="52">K47-O47-S47</f>
        <v>444</v>
      </c>
      <c r="W47" s="19">
        <f t="shared" si="52"/>
        <v>44</v>
      </c>
      <c r="X47" s="20">
        <f>W47/J47*100</f>
        <v>0.4251207729468599</v>
      </c>
      <c r="Y47" s="21">
        <f>S47+T47</f>
        <v>1146</v>
      </c>
      <c r="Z47" s="20"/>
      <c r="AA47" s="21"/>
      <c r="AB47" s="20"/>
      <c r="AC47" s="20"/>
    </row>
    <row r="48" spans="1:29" s="4" customFormat="1" ht="38.25">
      <c r="A48" s="60">
        <v>15</v>
      </c>
      <c r="B48" s="70" t="s">
        <v>52</v>
      </c>
      <c r="C48" s="71" t="s">
        <v>32</v>
      </c>
      <c r="D48" s="71" t="s">
        <v>113</v>
      </c>
      <c r="E48" s="71" t="s">
        <v>69</v>
      </c>
      <c r="F48" s="71" t="s">
        <v>34</v>
      </c>
      <c r="G48" s="49">
        <f>H48+I48</f>
        <v>11251</v>
      </c>
      <c r="H48" s="43">
        <v>9784</v>
      </c>
      <c r="I48" s="43">
        <v>1467</v>
      </c>
      <c r="J48" s="49">
        <f>SUM(K48:M48)</f>
        <v>11043</v>
      </c>
      <c r="K48" s="43">
        <v>9605</v>
      </c>
      <c r="L48" s="43">
        <v>960</v>
      </c>
      <c r="M48" s="43">
        <v>478</v>
      </c>
      <c r="N48" s="49">
        <f>SUM(O48:Q48)</f>
        <v>8510</v>
      </c>
      <c r="O48" s="43">
        <v>7761</v>
      </c>
      <c r="P48" s="43">
        <v>749</v>
      </c>
      <c r="Q48" s="43"/>
      <c r="R48" s="65">
        <f t="shared" si="44"/>
        <v>2007</v>
      </c>
      <c r="S48" s="72">
        <v>1799</v>
      </c>
      <c r="T48" s="72">
        <v>208</v>
      </c>
      <c r="U48" s="49"/>
      <c r="V48" s="19">
        <f t="shared" si="52"/>
        <v>45</v>
      </c>
      <c r="W48" s="19">
        <f t="shared" si="52"/>
        <v>3</v>
      </c>
      <c r="X48" s="20">
        <f>W48/J48*100</f>
        <v>2.7166530834012496E-2</v>
      </c>
      <c r="Y48" s="21">
        <f>S48+T48</f>
        <v>2007</v>
      </c>
      <c r="Z48" s="20"/>
      <c r="AA48" s="21"/>
      <c r="AB48" s="20"/>
      <c r="AC48" s="20"/>
    </row>
    <row r="49" spans="1:29" s="4" customFormat="1" ht="51">
      <c r="A49" s="60">
        <v>16</v>
      </c>
      <c r="B49" s="70" t="s">
        <v>53</v>
      </c>
      <c r="C49" s="71" t="s">
        <v>57</v>
      </c>
      <c r="D49" s="71" t="s">
        <v>114</v>
      </c>
      <c r="E49" s="71" t="s">
        <v>71</v>
      </c>
      <c r="F49" s="71" t="s">
        <v>30</v>
      </c>
      <c r="G49" s="49">
        <f t="shared" si="41"/>
        <v>1092.5</v>
      </c>
      <c r="H49" s="43">
        <v>950</v>
      </c>
      <c r="I49" s="43">
        <f>L49+M49</f>
        <v>142.5</v>
      </c>
      <c r="J49" s="49">
        <f t="shared" si="50"/>
        <v>1092.5</v>
      </c>
      <c r="K49" s="43">
        <v>950</v>
      </c>
      <c r="L49" s="43">
        <v>95</v>
      </c>
      <c r="M49" s="43">
        <v>47.5</v>
      </c>
      <c r="N49" s="49">
        <f t="shared" si="43"/>
        <v>990</v>
      </c>
      <c r="O49" s="43">
        <v>900</v>
      </c>
      <c r="P49" s="43">
        <v>90</v>
      </c>
      <c r="Q49" s="43"/>
      <c r="R49" s="65">
        <f t="shared" si="44"/>
        <v>21</v>
      </c>
      <c r="S49" s="72">
        <v>19</v>
      </c>
      <c r="T49" s="72">
        <v>2</v>
      </c>
      <c r="U49" s="49"/>
      <c r="V49" s="19">
        <f t="shared" si="45"/>
        <v>31</v>
      </c>
      <c r="W49" s="19">
        <f t="shared" si="46"/>
        <v>3</v>
      </c>
      <c r="X49" s="20">
        <f t="shared" si="47"/>
        <v>0.27459954233409611</v>
      </c>
      <c r="Y49" s="21">
        <f>S49+T49</f>
        <v>21</v>
      </c>
      <c r="Z49" s="20">
        <v>1056</v>
      </c>
      <c r="AA49" s="21">
        <f>Z49*AA46</f>
        <v>918.26086956521738</v>
      </c>
      <c r="AB49" s="20">
        <f>Z49*AB46</f>
        <v>91.826086956521735</v>
      </c>
      <c r="AC49" s="20">
        <f>Z49-AA49-AB49</f>
        <v>45.913043478260889</v>
      </c>
    </row>
    <row r="50" spans="1:29">
      <c r="A50" s="44" t="s">
        <v>2</v>
      </c>
      <c r="B50" s="92" t="s">
        <v>149</v>
      </c>
      <c r="C50" s="93"/>
      <c r="D50" s="94"/>
      <c r="E50" s="52"/>
      <c r="F50" s="44"/>
      <c r="G50" s="47">
        <f t="shared" ref="G50" si="53">SUM(G51:G58)</f>
        <v>31210</v>
      </c>
      <c r="H50" s="47">
        <f t="shared" ref="H50" si="54">SUM(H51:H58)</f>
        <v>27142</v>
      </c>
      <c r="I50" s="47">
        <f t="shared" ref="I50" si="55">SUM(I51:I58)</f>
        <v>4068</v>
      </c>
      <c r="J50" s="47">
        <f t="shared" ref="J50" si="56">SUM(J51:J58)</f>
        <v>31210</v>
      </c>
      <c r="K50" s="47">
        <f t="shared" ref="K50" si="57">SUM(K51:K58)</f>
        <v>27142</v>
      </c>
      <c r="L50" s="47">
        <f t="shared" ref="L50" si="58">SUM(L51:L58)</f>
        <v>2708</v>
      </c>
      <c r="M50" s="47">
        <f t="shared" ref="M50" si="59">SUM(M51:M58)</f>
        <v>1360</v>
      </c>
      <c r="N50" s="47">
        <f t="shared" ref="N50" si="60">SUM(N51:N58)</f>
        <v>9873</v>
      </c>
      <c r="O50" s="47">
        <f t="shared" ref="O50" si="61">SUM(O51:O58)</f>
        <v>8892</v>
      </c>
      <c r="P50" s="47">
        <f t="shared" ref="P50" si="62">SUM(P51:P58)</f>
        <v>981</v>
      </c>
      <c r="Q50" s="47">
        <f t="shared" ref="Q50" si="63">SUM(Q51:Q58)</f>
        <v>0</v>
      </c>
      <c r="R50" s="47">
        <f t="shared" ref="R50" si="64">SUM(R51:R58)</f>
        <v>15228</v>
      </c>
      <c r="S50" s="47">
        <f t="shared" ref="S50:T50" si="65">SUM(S51:S58)</f>
        <v>13980</v>
      </c>
      <c r="T50" s="47">
        <f t="shared" si="65"/>
        <v>1248</v>
      </c>
      <c r="U50" s="46">
        <f t="shared" ref="U50" si="66">SUM(U51:U58)</f>
        <v>0</v>
      </c>
      <c r="V50" s="19">
        <f t="shared" si="45"/>
        <v>4270</v>
      </c>
      <c r="W50" s="19">
        <f t="shared" si="46"/>
        <v>479</v>
      </c>
      <c r="X50" s="20"/>
    </row>
    <row r="51" spans="1:29" s="4" customFormat="1" ht="38.25">
      <c r="A51" s="69">
        <v>1</v>
      </c>
      <c r="B51" s="70" t="s">
        <v>79</v>
      </c>
      <c r="C51" s="71" t="s">
        <v>55</v>
      </c>
      <c r="D51" s="71" t="s">
        <v>105</v>
      </c>
      <c r="E51" s="71" t="s">
        <v>81</v>
      </c>
      <c r="F51" s="71" t="s">
        <v>78</v>
      </c>
      <c r="G51" s="49">
        <f t="shared" ref="G51:G54" si="67">H51+I51</f>
        <v>1380</v>
      </c>
      <c r="H51" s="43">
        <f t="shared" ref="H51:H54" si="68">K51</f>
        <v>1200</v>
      </c>
      <c r="I51" s="43">
        <f t="shared" ref="I51:I54" si="69">L51+M51</f>
        <v>180</v>
      </c>
      <c r="J51" s="49">
        <f>SUM(K51:M51)</f>
        <v>1380</v>
      </c>
      <c r="K51" s="43">
        <v>1200</v>
      </c>
      <c r="L51" s="43">
        <v>120</v>
      </c>
      <c r="M51" s="43">
        <v>60</v>
      </c>
      <c r="N51" s="49">
        <f>O51+P51</f>
        <v>435</v>
      </c>
      <c r="O51" s="43">
        <v>396</v>
      </c>
      <c r="P51" s="43">
        <v>39</v>
      </c>
      <c r="Q51" s="43"/>
      <c r="R51" s="50">
        <f>S51+T51</f>
        <v>819</v>
      </c>
      <c r="S51" s="72">
        <v>744</v>
      </c>
      <c r="T51" s="72">
        <v>75</v>
      </c>
      <c r="U51" s="49"/>
      <c r="V51" s="19">
        <f t="shared" si="45"/>
        <v>60</v>
      </c>
      <c r="W51" s="19">
        <f t="shared" si="46"/>
        <v>6</v>
      </c>
      <c r="X51" s="20">
        <f t="shared" ref="X51" si="70">W51/J51*100</f>
        <v>0.43478260869565216</v>
      </c>
      <c r="Y51" s="21"/>
      <c r="Z51" s="20"/>
      <c r="AA51" s="20"/>
      <c r="AB51" s="20"/>
      <c r="AC51" s="20"/>
    </row>
    <row r="52" spans="1:29" s="4" customFormat="1" ht="38.25">
      <c r="A52" s="69">
        <v>2</v>
      </c>
      <c r="B52" s="70" t="s">
        <v>80</v>
      </c>
      <c r="C52" s="71" t="s">
        <v>32</v>
      </c>
      <c r="D52" s="71" t="s">
        <v>109</v>
      </c>
      <c r="E52" s="71" t="s">
        <v>81</v>
      </c>
      <c r="F52" s="71" t="s">
        <v>78</v>
      </c>
      <c r="G52" s="49">
        <f t="shared" si="67"/>
        <v>5865</v>
      </c>
      <c r="H52" s="43">
        <f t="shared" si="68"/>
        <v>5100</v>
      </c>
      <c r="I52" s="43">
        <f t="shared" si="69"/>
        <v>765</v>
      </c>
      <c r="J52" s="49">
        <f t="shared" ref="J52:J54" si="71">SUM(K52:M52)</f>
        <v>5865</v>
      </c>
      <c r="K52" s="43">
        <v>5100</v>
      </c>
      <c r="L52" s="43">
        <v>510</v>
      </c>
      <c r="M52" s="43">
        <v>255</v>
      </c>
      <c r="N52" s="49">
        <v>1851</v>
      </c>
      <c r="O52" s="43">
        <v>1683</v>
      </c>
      <c r="P52" s="43">
        <v>168</v>
      </c>
      <c r="Q52" s="43"/>
      <c r="R52" s="50">
        <f t="shared" ref="R52:R58" si="72">S52+T52</f>
        <v>2482</v>
      </c>
      <c r="S52" s="72">
        <v>2310</v>
      </c>
      <c r="T52" s="72">
        <v>172</v>
      </c>
      <c r="U52" s="49"/>
      <c r="V52" s="19">
        <f t="shared" si="45"/>
        <v>1107</v>
      </c>
      <c r="W52" s="19">
        <f t="shared" si="46"/>
        <v>170</v>
      </c>
      <c r="X52" s="20">
        <f t="shared" ref="X52:X57" si="73">W52/J52*100</f>
        <v>2.8985507246376812</v>
      </c>
      <c r="Y52" s="21">
        <f>S52+T52</f>
        <v>2482</v>
      </c>
      <c r="Z52" s="20"/>
      <c r="AA52" s="20"/>
      <c r="AB52" s="20"/>
      <c r="AC52" s="20"/>
    </row>
    <row r="53" spans="1:29" s="4" customFormat="1" ht="63.75">
      <c r="A53" s="69">
        <v>3</v>
      </c>
      <c r="B53" s="70" t="s">
        <v>90</v>
      </c>
      <c r="C53" s="71" t="s">
        <v>32</v>
      </c>
      <c r="D53" s="71" t="s">
        <v>118</v>
      </c>
      <c r="E53" s="71" t="s">
        <v>81</v>
      </c>
      <c r="F53" s="71" t="s">
        <v>78</v>
      </c>
      <c r="G53" s="49">
        <f t="shared" si="67"/>
        <v>3701</v>
      </c>
      <c r="H53" s="43">
        <f t="shared" si="68"/>
        <v>3221</v>
      </c>
      <c r="I53" s="43">
        <f t="shared" si="69"/>
        <v>480</v>
      </c>
      <c r="J53" s="49">
        <f t="shared" ref="J53" si="74">SUM(K53:M53)</f>
        <v>3701</v>
      </c>
      <c r="K53" s="43">
        <v>3221</v>
      </c>
      <c r="L53" s="43">
        <v>315</v>
      </c>
      <c r="M53" s="43">
        <v>165</v>
      </c>
      <c r="N53" s="49">
        <v>1165</v>
      </c>
      <c r="O53" s="43">
        <v>1062</v>
      </c>
      <c r="P53" s="43">
        <v>103</v>
      </c>
      <c r="Q53" s="43"/>
      <c r="R53" s="50">
        <f t="shared" si="72"/>
        <v>1897</v>
      </c>
      <c r="S53" s="72">
        <v>1721</v>
      </c>
      <c r="T53" s="72">
        <v>176</v>
      </c>
      <c r="U53" s="49"/>
      <c r="V53" s="19">
        <f t="shared" si="45"/>
        <v>438</v>
      </c>
      <c r="W53" s="19">
        <f t="shared" si="46"/>
        <v>36</v>
      </c>
      <c r="X53" s="20">
        <f t="shared" si="73"/>
        <v>0.9727100783572008</v>
      </c>
      <c r="Y53" s="21">
        <f>S53+T53</f>
        <v>1897</v>
      </c>
      <c r="Z53" s="20"/>
      <c r="AA53" s="20"/>
      <c r="AB53" s="20"/>
      <c r="AC53" s="20"/>
    </row>
    <row r="54" spans="1:29" s="4" customFormat="1" ht="51">
      <c r="A54" s="69">
        <v>4</v>
      </c>
      <c r="B54" s="70" t="s">
        <v>92</v>
      </c>
      <c r="C54" s="71" t="s">
        <v>32</v>
      </c>
      <c r="D54" s="71" t="s">
        <v>117</v>
      </c>
      <c r="E54" s="71" t="s">
        <v>62</v>
      </c>
      <c r="F54" s="71" t="s">
        <v>78</v>
      </c>
      <c r="G54" s="49">
        <f t="shared" si="67"/>
        <v>6899.5</v>
      </c>
      <c r="H54" s="43">
        <f t="shared" si="68"/>
        <v>6000</v>
      </c>
      <c r="I54" s="43">
        <f t="shared" si="69"/>
        <v>899.5</v>
      </c>
      <c r="J54" s="49">
        <f t="shared" si="71"/>
        <v>6899.5</v>
      </c>
      <c r="K54" s="43">
        <v>6000</v>
      </c>
      <c r="L54" s="43">
        <v>600</v>
      </c>
      <c r="M54" s="43">
        <v>299.5</v>
      </c>
      <c r="N54" s="49">
        <v>2207</v>
      </c>
      <c r="O54" s="43">
        <v>1917</v>
      </c>
      <c r="P54" s="43">
        <v>290</v>
      </c>
      <c r="Q54" s="43"/>
      <c r="R54" s="50">
        <f t="shared" si="72"/>
        <v>3278</v>
      </c>
      <c r="S54" s="72">
        <v>3069</v>
      </c>
      <c r="T54" s="72">
        <v>209</v>
      </c>
      <c r="U54" s="49"/>
      <c r="V54" s="19">
        <f t="shared" si="45"/>
        <v>1014</v>
      </c>
      <c r="W54" s="19">
        <f t="shared" si="46"/>
        <v>101</v>
      </c>
      <c r="X54" s="20">
        <f t="shared" si="73"/>
        <v>1.463874193782158</v>
      </c>
      <c r="Y54" s="21">
        <f>S54+T54</f>
        <v>3278</v>
      </c>
      <c r="Z54" s="20"/>
      <c r="AA54" s="20"/>
      <c r="AB54" s="20"/>
      <c r="AC54" s="20"/>
    </row>
    <row r="55" spans="1:29" s="4" customFormat="1" ht="25.5">
      <c r="A55" s="69">
        <v>5</v>
      </c>
      <c r="B55" s="70" t="s">
        <v>82</v>
      </c>
      <c r="C55" s="71" t="s">
        <v>84</v>
      </c>
      <c r="D55" s="71" t="s">
        <v>116</v>
      </c>
      <c r="E55" s="71" t="s">
        <v>62</v>
      </c>
      <c r="F55" s="71" t="s">
        <v>78</v>
      </c>
      <c r="G55" s="49">
        <f>H55+I55</f>
        <v>1089</v>
      </c>
      <c r="H55" s="43">
        <f>K55</f>
        <v>947</v>
      </c>
      <c r="I55" s="43">
        <f>L55+M55</f>
        <v>142</v>
      </c>
      <c r="J55" s="49">
        <f>SUM(K55:M55)</f>
        <v>1089</v>
      </c>
      <c r="K55" s="43">
        <v>947</v>
      </c>
      <c r="L55" s="43">
        <v>95</v>
      </c>
      <c r="M55" s="43">
        <v>47</v>
      </c>
      <c r="N55" s="49">
        <f>O55+P55</f>
        <v>343</v>
      </c>
      <c r="O55" s="43">
        <v>312</v>
      </c>
      <c r="P55" s="43">
        <v>31</v>
      </c>
      <c r="Q55" s="43"/>
      <c r="R55" s="50">
        <f t="shared" si="72"/>
        <v>694</v>
      </c>
      <c r="S55" s="72">
        <v>632</v>
      </c>
      <c r="T55" s="72">
        <v>62</v>
      </c>
      <c r="U55" s="49"/>
      <c r="V55" s="19">
        <f t="shared" si="45"/>
        <v>3</v>
      </c>
      <c r="W55" s="19">
        <f t="shared" si="46"/>
        <v>2</v>
      </c>
      <c r="X55" s="20">
        <f t="shared" si="73"/>
        <v>0.18365472910927455</v>
      </c>
      <c r="Y55" s="21"/>
      <c r="Z55" s="20">
        <f>K56/J56</f>
        <v>0.87100330760749722</v>
      </c>
      <c r="AA55" s="20">
        <f>L56/J56</f>
        <v>8.5997794928335175E-2</v>
      </c>
      <c r="AB55" s="20"/>
      <c r="AC55" s="20"/>
    </row>
    <row r="56" spans="1:29" s="4" customFormat="1" ht="25.5">
      <c r="A56" s="69">
        <v>6</v>
      </c>
      <c r="B56" s="70" t="s">
        <v>83</v>
      </c>
      <c r="C56" s="71" t="s">
        <v>57</v>
      </c>
      <c r="D56" s="71" t="s">
        <v>115</v>
      </c>
      <c r="E56" s="71" t="s">
        <v>91</v>
      </c>
      <c r="F56" s="71" t="s">
        <v>78</v>
      </c>
      <c r="G56" s="49">
        <f>H56+I56</f>
        <v>453.5</v>
      </c>
      <c r="H56" s="43">
        <f>K56</f>
        <v>395</v>
      </c>
      <c r="I56" s="43">
        <f>L56+M56</f>
        <v>58.5</v>
      </c>
      <c r="J56" s="49">
        <f>SUM(K56:M56)</f>
        <v>453.5</v>
      </c>
      <c r="K56" s="43">
        <v>395</v>
      </c>
      <c r="L56" s="43">
        <v>39</v>
      </c>
      <c r="M56" s="43">
        <v>19.5</v>
      </c>
      <c r="N56" s="49">
        <v>142</v>
      </c>
      <c r="O56" s="43">
        <v>130</v>
      </c>
      <c r="P56" s="43">
        <v>12</v>
      </c>
      <c r="Q56" s="43"/>
      <c r="R56" s="50">
        <f t="shared" si="72"/>
        <v>216</v>
      </c>
      <c r="S56" s="72">
        <v>195</v>
      </c>
      <c r="T56" s="72">
        <v>21</v>
      </c>
      <c r="U56" s="49"/>
      <c r="V56" s="19">
        <f t="shared" si="45"/>
        <v>70</v>
      </c>
      <c r="W56" s="19">
        <f t="shared" si="46"/>
        <v>6</v>
      </c>
      <c r="X56" s="20">
        <f t="shared" ref="X56" si="75">W56/J56*100</f>
        <v>1.3230429988974641</v>
      </c>
      <c r="Y56" s="21">
        <v>373</v>
      </c>
      <c r="Z56" s="20">
        <f>Y56*Z55</f>
        <v>324.88423373759645</v>
      </c>
      <c r="AA56" s="20">
        <f>AA55*Y56</f>
        <v>32.077177508269017</v>
      </c>
      <c r="AB56" s="20">
        <f>Y56-Z56-AA56</f>
        <v>16.038588754134537</v>
      </c>
      <c r="AC56" s="20"/>
    </row>
    <row r="57" spans="1:29" s="4" customFormat="1" ht="38.25">
      <c r="A57" s="69">
        <v>7</v>
      </c>
      <c r="B57" s="70" t="s">
        <v>89</v>
      </c>
      <c r="C57" s="71" t="s">
        <v>32</v>
      </c>
      <c r="D57" s="71" t="s">
        <v>100</v>
      </c>
      <c r="E57" s="71" t="s">
        <v>58</v>
      </c>
      <c r="F57" s="71" t="s">
        <v>78</v>
      </c>
      <c r="G57" s="49">
        <f t="shared" ref="G57" si="76">H57+I57</f>
        <v>8142</v>
      </c>
      <c r="H57" s="43">
        <f t="shared" ref="H57" si="77">K57</f>
        <v>7079</v>
      </c>
      <c r="I57" s="43">
        <f t="shared" ref="I57" si="78">L57+M57</f>
        <v>1063</v>
      </c>
      <c r="J57" s="49">
        <f t="shared" ref="J57" si="79">SUM(K57:M57)</f>
        <v>8142</v>
      </c>
      <c r="K57" s="43">
        <v>7079</v>
      </c>
      <c r="L57" s="43">
        <v>709</v>
      </c>
      <c r="M57" s="43">
        <v>354</v>
      </c>
      <c r="N57" s="49">
        <v>2569</v>
      </c>
      <c r="O57" s="43">
        <v>2336</v>
      </c>
      <c r="P57" s="43">
        <v>233</v>
      </c>
      <c r="Q57" s="43"/>
      <c r="R57" s="50">
        <f t="shared" si="72"/>
        <v>4116</v>
      </c>
      <c r="S57" s="72">
        <v>3741</v>
      </c>
      <c r="T57" s="72">
        <v>375</v>
      </c>
      <c r="U57" s="49"/>
      <c r="V57" s="19">
        <f t="shared" si="45"/>
        <v>1002</v>
      </c>
      <c r="W57" s="19">
        <f t="shared" si="46"/>
        <v>101</v>
      </c>
      <c r="X57" s="20">
        <f t="shared" si="73"/>
        <v>1.2404814541881601</v>
      </c>
      <c r="Y57" s="21">
        <f t="shared" ref="Y57:Y58" si="80">S57+T57</f>
        <v>4116</v>
      </c>
      <c r="Z57" s="20">
        <f>Z56-O56</f>
        <v>194.88423373759645</v>
      </c>
      <c r="AA57" s="20">
        <f>AA56-P56</f>
        <v>20.077177508269017</v>
      </c>
      <c r="AB57" s="20"/>
      <c r="AC57" s="20"/>
    </row>
    <row r="58" spans="1:29" s="4" customFormat="1" ht="45" customHeight="1">
      <c r="A58" s="69">
        <v>8</v>
      </c>
      <c r="B58" s="70" t="s">
        <v>93</v>
      </c>
      <c r="C58" s="71" t="s">
        <v>32</v>
      </c>
      <c r="D58" s="71" t="s">
        <v>108</v>
      </c>
      <c r="E58" s="71" t="s">
        <v>65</v>
      </c>
      <c r="F58" s="71" t="s">
        <v>78</v>
      </c>
      <c r="G58" s="49">
        <f>H58+I58</f>
        <v>3680</v>
      </c>
      <c r="H58" s="43">
        <f>K58</f>
        <v>3200</v>
      </c>
      <c r="I58" s="43">
        <f>L58+M58</f>
        <v>480</v>
      </c>
      <c r="J58" s="49">
        <f>SUM(K58:M58)</f>
        <v>3680</v>
      </c>
      <c r="K58" s="43">
        <v>3200</v>
      </c>
      <c r="L58" s="43">
        <v>320</v>
      </c>
      <c r="M58" s="43">
        <v>160</v>
      </c>
      <c r="N58" s="49">
        <v>1161</v>
      </c>
      <c r="O58" s="43">
        <v>1056</v>
      </c>
      <c r="P58" s="43">
        <v>105</v>
      </c>
      <c r="Q58" s="43"/>
      <c r="R58" s="50">
        <f t="shared" si="72"/>
        <v>1726</v>
      </c>
      <c r="S58" s="72">
        <v>1568</v>
      </c>
      <c r="T58" s="72">
        <v>158</v>
      </c>
      <c r="U58" s="49"/>
      <c r="V58" s="19">
        <f t="shared" si="45"/>
        <v>576</v>
      </c>
      <c r="W58" s="19">
        <f t="shared" si="46"/>
        <v>57</v>
      </c>
      <c r="X58" s="20">
        <f>W58/J58*100</f>
        <v>1.548913043478261</v>
      </c>
      <c r="Y58" s="21">
        <f t="shared" si="80"/>
        <v>1726</v>
      </c>
      <c r="Z58" s="20"/>
      <c r="AA58" s="20"/>
      <c r="AB58" s="20"/>
      <c r="AC58" s="20"/>
    </row>
    <row r="59" spans="1:29" s="6" customFormat="1" ht="12.75">
      <c r="A59" s="44" t="s">
        <v>150</v>
      </c>
      <c r="B59" s="67" t="s">
        <v>128</v>
      </c>
      <c r="C59" s="68"/>
      <c r="D59" s="77"/>
      <c r="E59" s="68"/>
      <c r="F59" s="68"/>
      <c r="G59" s="49">
        <f>SUM(G60:G88)</f>
        <v>51814.75</v>
      </c>
      <c r="H59" s="49">
        <f t="shared" ref="H59:T59" si="81">SUM(H60:H88)</f>
        <v>45055</v>
      </c>
      <c r="I59" s="49">
        <f t="shared" si="81"/>
        <v>6759.75</v>
      </c>
      <c r="J59" s="49">
        <f t="shared" si="81"/>
        <v>51814.75</v>
      </c>
      <c r="K59" s="49">
        <f t="shared" si="81"/>
        <v>45055</v>
      </c>
      <c r="L59" s="49">
        <f t="shared" si="81"/>
        <v>4506</v>
      </c>
      <c r="M59" s="49">
        <f t="shared" si="81"/>
        <v>2253.75</v>
      </c>
      <c r="N59" s="49">
        <f t="shared" si="81"/>
        <v>0</v>
      </c>
      <c r="O59" s="49">
        <f t="shared" si="81"/>
        <v>0</v>
      </c>
      <c r="P59" s="49">
        <f t="shared" si="81"/>
        <v>0</v>
      </c>
      <c r="Q59" s="49">
        <f t="shared" si="81"/>
        <v>0</v>
      </c>
      <c r="R59" s="49">
        <f t="shared" si="81"/>
        <v>21917</v>
      </c>
      <c r="S59" s="49">
        <f t="shared" si="81"/>
        <v>19865</v>
      </c>
      <c r="T59" s="49">
        <f t="shared" si="81"/>
        <v>2052</v>
      </c>
      <c r="U59" s="49">
        <f>SUM(U60:U86)</f>
        <v>0</v>
      </c>
      <c r="V59" s="19">
        <f t="shared" si="45"/>
        <v>25190</v>
      </c>
      <c r="W59" s="19">
        <f t="shared" si="46"/>
        <v>2454</v>
      </c>
      <c r="X59" s="35"/>
      <c r="Y59" s="35"/>
      <c r="Z59" s="35"/>
      <c r="AA59" s="35"/>
      <c r="AB59" s="35"/>
      <c r="AC59" s="35"/>
    </row>
    <row r="60" spans="1:29" s="20" customFormat="1" ht="25.5">
      <c r="A60" s="69">
        <v>1</v>
      </c>
      <c r="B60" s="70" t="s">
        <v>196</v>
      </c>
      <c r="C60" s="71" t="s">
        <v>54</v>
      </c>
      <c r="D60" s="71" t="s">
        <v>197</v>
      </c>
      <c r="E60" s="71" t="s">
        <v>40</v>
      </c>
      <c r="F60" s="71" t="s">
        <v>124</v>
      </c>
      <c r="G60" s="49">
        <f>H60+I60</f>
        <v>586.5</v>
      </c>
      <c r="H60" s="43">
        <f>K60</f>
        <v>510</v>
      </c>
      <c r="I60" s="43">
        <f>L60+M60</f>
        <v>76.5</v>
      </c>
      <c r="J60" s="49">
        <f>K60+L60+M60</f>
        <v>586.5</v>
      </c>
      <c r="K60" s="43">
        <v>510</v>
      </c>
      <c r="L60" s="43">
        <v>51</v>
      </c>
      <c r="M60" s="43">
        <v>25.5</v>
      </c>
      <c r="N60" s="49"/>
      <c r="O60" s="43"/>
      <c r="P60" s="43"/>
      <c r="Q60" s="43"/>
      <c r="R60" s="50">
        <f>S60+T60</f>
        <v>251</v>
      </c>
      <c r="S60" s="72">
        <f>ROUNDDOWN(K60*45%,0)</f>
        <v>229</v>
      </c>
      <c r="T60" s="72">
        <f>ROUNDDOWN(L60*45%,0)</f>
        <v>22</v>
      </c>
      <c r="U60" s="49"/>
      <c r="V60" s="19">
        <v>1</v>
      </c>
      <c r="W60" s="19">
        <f t="shared" si="46"/>
        <v>29</v>
      </c>
      <c r="Y60" s="21"/>
    </row>
    <row r="61" spans="1:29" s="15" customFormat="1" ht="25.5">
      <c r="A61" s="60">
        <v>2</v>
      </c>
      <c r="B61" s="61" t="s">
        <v>212</v>
      </c>
      <c r="C61" s="62" t="s">
        <v>54</v>
      </c>
      <c r="D61" s="62" t="s">
        <v>213</v>
      </c>
      <c r="E61" s="62" t="s">
        <v>40</v>
      </c>
      <c r="F61" s="62" t="s">
        <v>124</v>
      </c>
      <c r="G61" s="63">
        <f>H61+I61</f>
        <v>488.25</v>
      </c>
      <c r="H61" s="64">
        <f>K61</f>
        <v>425</v>
      </c>
      <c r="I61" s="64">
        <f>L61+M61</f>
        <v>63.25</v>
      </c>
      <c r="J61" s="63">
        <f>K61+L61+M61</f>
        <v>488.25</v>
      </c>
      <c r="K61" s="64">
        <v>425</v>
      </c>
      <c r="L61" s="64">
        <v>42</v>
      </c>
      <c r="M61" s="64">
        <v>21.25</v>
      </c>
      <c r="N61" s="63"/>
      <c r="O61" s="64"/>
      <c r="P61" s="64"/>
      <c r="Q61" s="64"/>
      <c r="R61" s="65">
        <f>S61+T61</f>
        <v>209</v>
      </c>
      <c r="S61" s="66">
        <f t="shared" ref="S61:S88" si="82">ROUNDDOWN(K61*45%,0)</f>
        <v>191</v>
      </c>
      <c r="T61" s="66">
        <f t="shared" ref="T61:T88" si="83">ROUNDDOWN(L61*45%,0)</f>
        <v>18</v>
      </c>
      <c r="U61" s="63"/>
      <c r="V61" s="40">
        <v>1</v>
      </c>
      <c r="W61" s="40">
        <f t="shared" ref="W61" si="84">L61-P61-T61</f>
        <v>24</v>
      </c>
      <c r="Y61" s="41"/>
    </row>
    <row r="62" spans="1:29" s="15" customFormat="1" ht="25.5">
      <c r="A62" s="69">
        <v>3</v>
      </c>
      <c r="B62" s="61" t="s">
        <v>214</v>
      </c>
      <c r="C62" s="62" t="s">
        <v>54</v>
      </c>
      <c r="D62" s="62" t="s">
        <v>215</v>
      </c>
      <c r="E62" s="62" t="s">
        <v>40</v>
      </c>
      <c r="F62" s="62" t="s">
        <v>133</v>
      </c>
      <c r="G62" s="63">
        <f>H62+I62</f>
        <v>1537</v>
      </c>
      <c r="H62" s="64">
        <f>K62</f>
        <v>1334</v>
      </c>
      <c r="I62" s="64">
        <f>L62+M62</f>
        <v>203</v>
      </c>
      <c r="J62" s="63">
        <f>K62+L62+M62</f>
        <v>1537</v>
      </c>
      <c r="K62" s="64">
        <v>1334</v>
      </c>
      <c r="L62" s="64">
        <v>134</v>
      </c>
      <c r="M62" s="64">
        <v>69</v>
      </c>
      <c r="N62" s="63"/>
      <c r="O62" s="64"/>
      <c r="P62" s="64"/>
      <c r="Q62" s="64"/>
      <c r="R62" s="65">
        <f>S62+T62</f>
        <v>660</v>
      </c>
      <c r="S62" s="66">
        <f t="shared" si="82"/>
        <v>600</v>
      </c>
      <c r="T62" s="66">
        <f t="shared" si="83"/>
        <v>60</v>
      </c>
      <c r="U62" s="63"/>
      <c r="V62" s="40">
        <v>1</v>
      </c>
      <c r="W62" s="40">
        <f t="shared" ref="W62" si="85">L62-P62-T62</f>
        <v>74</v>
      </c>
      <c r="Y62" s="41"/>
    </row>
    <row r="63" spans="1:29" s="20" customFormat="1" ht="38.25">
      <c r="A63" s="60">
        <v>4</v>
      </c>
      <c r="B63" s="70" t="s">
        <v>156</v>
      </c>
      <c r="C63" s="71" t="s">
        <v>32</v>
      </c>
      <c r="D63" s="71" t="s">
        <v>157</v>
      </c>
      <c r="E63" s="71" t="s">
        <v>40</v>
      </c>
      <c r="F63" s="71" t="s">
        <v>133</v>
      </c>
      <c r="G63" s="49">
        <f t="shared" ref="G63:G66" si="86">H63+I63</f>
        <v>7728</v>
      </c>
      <c r="H63" s="43">
        <f t="shared" ref="H63:H66" si="87">K63</f>
        <v>6722</v>
      </c>
      <c r="I63" s="43">
        <f t="shared" ref="I63:I66" si="88">L63+M63</f>
        <v>1006</v>
      </c>
      <c r="J63" s="49">
        <f t="shared" ref="J63:J66" si="89">K63+L63+M63</f>
        <v>7728</v>
      </c>
      <c r="K63" s="43">
        <v>6722</v>
      </c>
      <c r="L63" s="43">
        <v>672</v>
      </c>
      <c r="M63" s="43">
        <v>334</v>
      </c>
      <c r="N63" s="49">
        <v>0</v>
      </c>
      <c r="O63" s="43">
        <v>0</v>
      </c>
      <c r="P63" s="43">
        <v>0</v>
      </c>
      <c r="Q63" s="43">
        <v>0</v>
      </c>
      <c r="R63" s="50">
        <f>S63+T63</f>
        <v>3026</v>
      </c>
      <c r="S63" s="72">
        <f>ROUNDDOWN(K63*45%,0)-300</f>
        <v>2724</v>
      </c>
      <c r="T63" s="72">
        <f t="shared" si="83"/>
        <v>302</v>
      </c>
      <c r="U63" s="49"/>
      <c r="V63" s="19">
        <f t="shared" si="45"/>
        <v>3998</v>
      </c>
      <c r="W63" s="19">
        <f t="shared" si="46"/>
        <v>370</v>
      </c>
      <c r="Y63" s="21"/>
    </row>
    <row r="64" spans="1:29" s="20" customFormat="1" ht="38.25">
      <c r="A64" s="69">
        <v>5</v>
      </c>
      <c r="B64" s="70" t="s">
        <v>158</v>
      </c>
      <c r="C64" s="71" t="s">
        <v>32</v>
      </c>
      <c r="D64" s="71" t="s">
        <v>159</v>
      </c>
      <c r="E64" s="71" t="s">
        <v>68</v>
      </c>
      <c r="F64" s="71" t="s">
        <v>133</v>
      </c>
      <c r="G64" s="49">
        <f t="shared" si="86"/>
        <v>6876</v>
      </c>
      <c r="H64" s="43">
        <f t="shared" si="87"/>
        <v>5979</v>
      </c>
      <c r="I64" s="43">
        <f t="shared" si="88"/>
        <v>897</v>
      </c>
      <c r="J64" s="49">
        <f t="shared" si="89"/>
        <v>6876</v>
      </c>
      <c r="K64" s="43">
        <v>5979</v>
      </c>
      <c r="L64" s="43">
        <v>598</v>
      </c>
      <c r="M64" s="43">
        <v>299</v>
      </c>
      <c r="N64" s="49">
        <v>0</v>
      </c>
      <c r="O64" s="43">
        <v>0</v>
      </c>
      <c r="P64" s="43">
        <v>0</v>
      </c>
      <c r="Q64" s="43">
        <v>0</v>
      </c>
      <c r="R64" s="50">
        <f>S64+T64</f>
        <v>2897</v>
      </c>
      <c r="S64" s="72">
        <f>ROUNDDOWN(K64*45%,0)-100</f>
        <v>2590</v>
      </c>
      <c r="T64" s="72">
        <f>ROUNDDOWN(L64*45%,0)+38</f>
        <v>307</v>
      </c>
      <c r="U64" s="49"/>
      <c r="V64" s="19">
        <f t="shared" si="45"/>
        <v>3389</v>
      </c>
      <c r="W64" s="19">
        <f t="shared" si="46"/>
        <v>291</v>
      </c>
      <c r="Y64" s="21"/>
    </row>
    <row r="65" spans="1:25" s="20" customFormat="1" ht="38.25">
      <c r="A65" s="60">
        <v>6</v>
      </c>
      <c r="B65" s="70" t="s">
        <v>205</v>
      </c>
      <c r="C65" s="71" t="s">
        <v>32</v>
      </c>
      <c r="D65" s="71" t="s">
        <v>165</v>
      </c>
      <c r="E65" s="71" t="s">
        <v>65</v>
      </c>
      <c r="F65" s="71" t="s">
        <v>133</v>
      </c>
      <c r="G65" s="49">
        <f t="shared" si="86"/>
        <v>2300</v>
      </c>
      <c r="H65" s="43">
        <f t="shared" si="87"/>
        <v>2000</v>
      </c>
      <c r="I65" s="43">
        <f t="shared" si="88"/>
        <v>300</v>
      </c>
      <c r="J65" s="49">
        <f t="shared" si="89"/>
        <v>2300</v>
      </c>
      <c r="K65" s="43">
        <v>2000</v>
      </c>
      <c r="L65" s="43">
        <v>200</v>
      </c>
      <c r="M65" s="43">
        <v>100</v>
      </c>
      <c r="N65" s="49"/>
      <c r="O65" s="43"/>
      <c r="P65" s="43"/>
      <c r="Q65" s="43"/>
      <c r="R65" s="50">
        <f t="shared" ref="R65:R86" si="90">S65+T65</f>
        <v>990</v>
      </c>
      <c r="S65" s="72">
        <f t="shared" si="82"/>
        <v>900</v>
      </c>
      <c r="T65" s="72">
        <f t="shared" si="83"/>
        <v>90</v>
      </c>
      <c r="U65" s="49"/>
      <c r="V65" s="19"/>
      <c r="W65" s="19"/>
      <c r="Y65" s="21"/>
    </row>
    <row r="66" spans="1:25" s="20" customFormat="1" ht="31.5" customHeight="1">
      <c r="A66" s="69">
        <v>7</v>
      </c>
      <c r="B66" s="70" t="s">
        <v>206</v>
      </c>
      <c r="C66" s="71" t="s">
        <v>32</v>
      </c>
      <c r="D66" s="71" t="s">
        <v>165</v>
      </c>
      <c r="E66" s="71" t="s">
        <v>65</v>
      </c>
      <c r="F66" s="71" t="s">
        <v>133</v>
      </c>
      <c r="G66" s="49">
        <f t="shared" si="86"/>
        <v>2300</v>
      </c>
      <c r="H66" s="43">
        <f t="shared" si="87"/>
        <v>2000</v>
      </c>
      <c r="I66" s="43">
        <f t="shared" si="88"/>
        <v>300</v>
      </c>
      <c r="J66" s="49">
        <f t="shared" si="89"/>
        <v>2300</v>
      </c>
      <c r="K66" s="43">
        <v>2000</v>
      </c>
      <c r="L66" s="43">
        <v>200</v>
      </c>
      <c r="M66" s="43">
        <v>100</v>
      </c>
      <c r="N66" s="49"/>
      <c r="O66" s="43"/>
      <c r="P66" s="43"/>
      <c r="Q66" s="43"/>
      <c r="R66" s="50">
        <f t="shared" si="90"/>
        <v>990</v>
      </c>
      <c r="S66" s="72">
        <f t="shared" si="82"/>
        <v>900</v>
      </c>
      <c r="T66" s="72">
        <f t="shared" si="83"/>
        <v>90</v>
      </c>
      <c r="U66" s="49"/>
      <c r="V66" s="19"/>
      <c r="W66" s="19"/>
      <c r="Y66" s="21"/>
    </row>
    <row r="67" spans="1:25" s="20" customFormat="1" ht="25.5">
      <c r="A67" s="60">
        <v>8</v>
      </c>
      <c r="B67" s="70" t="s">
        <v>172</v>
      </c>
      <c r="C67" s="71" t="s">
        <v>137</v>
      </c>
      <c r="D67" s="71" t="s">
        <v>173</v>
      </c>
      <c r="E67" s="71" t="s">
        <v>64</v>
      </c>
      <c r="F67" s="71" t="s">
        <v>133</v>
      </c>
      <c r="G67" s="49">
        <f t="shared" ref="G67:G77" si="91">H67+I67</f>
        <v>1341</v>
      </c>
      <c r="H67" s="43">
        <f>K67</f>
        <v>1166</v>
      </c>
      <c r="I67" s="43">
        <f>L67+M67</f>
        <v>175</v>
      </c>
      <c r="J67" s="49">
        <f>K67+L67+M67</f>
        <v>1341</v>
      </c>
      <c r="K67" s="43">
        <v>1166</v>
      </c>
      <c r="L67" s="43">
        <v>117</v>
      </c>
      <c r="M67" s="43">
        <v>58</v>
      </c>
      <c r="N67" s="49"/>
      <c r="O67" s="43"/>
      <c r="P67" s="43"/>
      <c r="Q67" s="43"/>
      <c r="R67" s="50">
        <f t="shared" si="90"/>
        <v>576</v>
      </c>
      <c r="S67" s="72">
        <f t="shared" si="82"/>
        <v>524</v>
      </c>
      <c r="T67" s="72">
        <f t="shared" si="83"/>
        <v>52</v>
      </c>
      <c r="U67" s="49"/>
      <c r="V67" s="19"/>
      <c r="W67" s="19"/>
      <c r="Y67" s="21"/>
    </row>
    <row r="68" spans="1:25" s="4" customFormat="1" ht="26.25" customHeight="1">
      <c r="A68" s="69">
        <v>9</v>
      </c>
      <c r="B68" s="70" t="s">
        <v>216</v>
      </c>
      <c r="C68" s="71" t="s">
        <v>137</v>
      </c>
      <c r="D68" s="71" t="s">
        <v>165</v>
      </c>
      <c r="E68" s="71" t="s">
        <v>64</v>
      </c>
      <c r="F68" s="71" t="s">
        <v>133</v>
      </c>
      <c r="G68" s="49">
        <f t="shared" ref="G68" si="92">H68+I68</f>
        <v>2639</v>
      </c>
      <c r="H68" s="43">
        <f>K68</f>
        <v>2295</v>
      </c>
      <c r="I68" s="43">
        <f>L68+M68</f>
        <v>344</v>
      </c>
      <c r="J68" s="49">
        <f>K68+L68+M68</f>
        <v>2639</v>
      </c>
      <c r="K68" s="43">
        <v>2295</v>
      </c>
      <c r="L68" s="43">
        <v>229</v>
      </c>
      <c r="M68" s="43">
        <v>115</v>
      </c>
      <c r="N68" s="49"/>
      <c r="O68" s="43"/>
      <c r="P68" s="43"/>
      <c r="Q68" s="43"/>
      <c r="R68" s="50">
        <f t="shared" ref="R68" si="93">S68+T68</f>
        <v>1135</v>
      </c>
      <c r="S68" s="72">
        <f t="shared" si="82"/>
        <v>1032</v>
      </c>
      <c r="T68" s="72">
        <f>ROUNDDOWN(L68*45%,0)</f>
        <v>103</v>
      </c>
      <c r="U68" s="49"/>
      <c r="V68" s="42"/>
      <c r="W68" s="42"/>
      <c r="Y68" s="39"/>
    </row>
    <row r="69" spans="1:25" s="20" customFormat="1" ht="32.25" customHeight="1">
      <c r="A69" s="60">
        <v>10</v>
      </c>
      <c r="B69" s="70" t="s">
        <v>160</v>
      </c>
      <c r="C69" s="71" t="s">
        <v>141</v>
      </c>
      <c r="D69" s="71" t="s">
        <v>161</v>
      </c>
      <c r="E69" s="71" t="s">
        <v>60</v>
      </c>
      <c r="F69" s="71" t="s">
        <v>133</v>
      </c>
      <c r="G69" s="49">
        <f t="shared" si="91"/>
        <v>1495</v>
      </c>
      <c r="H69" s="43">
        <f>K69</f>
        <v>1300</v>
      </c>
      <c r="I69" s="43">
        <f>L69+M69</f>
        <v>195</v>
      </c>
      <c r="J69" s="49">
        <f t="shared" ref="J69:J70" si="94">K69+L69+M69</f>
        <v>1495</v>
      </c>
      <c r="K69" s="43">
        <v>1300</v>
      </c>
      <c r="L69" s="43">
        <v>130</v>
      </c>
      <c r="M69" s="43">
        <v>65</v>
      </c>
      <c r="N69" s="49"/>
      <c r="O69" s="43"/>
      <c r="P69" s="43"/>
      <c r="Q69" s="43"/>
      <c r="R69" s="50">
        <f t="shared" si="90"/>
        <v>643</v>
      </c>
      <c r="S69" s="72">
        <f t="shared" si="82"/>
        <v>585</v>
      </c>
      <c r="T69" s="72">
        <f t="shared" si="83"/>
        <v>58</v>
      </c>
      <c r="U69" s="49"/>
      <c r="V69" s="19">
        <v>1</v>
      </c>
      <c r="W69" s="19">
        <f t="shared" ref="W69:W71" si="95">S69+T69</f>
        <v>643</v>
      </c>
      <c r="Y69" s="21"/>
    </row>
    <row r="70" spans="1:25" s="4" customFormat="1" ht="25.5">
      <c r="A70" s="69">
        <v>11</v>
      </c>
      <c r="B70" s="70" t="s">
        <v>162</v>
      </c>
      <c r="C70" s="71" t="s">
        <v>141</v>
      </c>
      <c r="D70" s="71" t="s">
        <v>114</v>
      </c>
      <c r="E70" s="71" t="s">
        <v>60</v>
      </c>
      <c r="F70" s="71" t="s">
        <v>133</v>
      </c>
      <c r="G70" s="49">
        <f t="shared" si="91"/>
        <v>1103</v>
      </c>
      <c r="H70" s="43">
        <f>K70</f>
        <v>959</v>
      </c>
      <c r="I70" s="43">
        <f>L70+M70</f>
        <v>144</v>
      </c>
      <c r="J70" s="49">
        <f t="shared" si="94"/>
        <v>1103</v>
      </c>
      <c r="K70" s="43">
        <v>959</v>
      </c>
      <c r="L70" s="43">
        <v>96</v>
      </c>
      <c r="M70" s="43">
        <v>48</v>
      </c>
      <c r="N70" s="49"/>
      <c r="O70" s="43"/>
      <c r="P70" s="43"/>
      <c r="Q70" s="43"/>
      <c r="R70" s="50">
        <f t="shared" si="90"/>
        <v>474</v>
      </c>
      <c r="S70" s="72">
        <f t="shared" si="82"/>
        <v>431</v>
      </c>
      <c r="T70" s="72">
        <f t="shared" si="83"/>
        <v>43</v>
      </c>
      <c r="U70" s="49"/>
      <c r="V70" s="42">
        <v>2</v>
      </c>
      <c r="W70" s="42">
        <f t="shared" si="95"/>
        <v>474</v>
      </c>
      <c r="Y70" s="39"/>
    </row>
    <row r="71" spans="1:25" s="20" customFormat="1" ht="25.5">
      <c r="A71" s="60">
        <v>12</v>
      </c>
      <c r="B71" s="70" t="s">
        <v>207</v>
      </c>
      <c r="C71" s="71" t="s">
        <v>84</v>
      </c>
      <c r="D71" s="71" t="s">
        <v>163</v>
      </c>
      <c r="E71" s="71" t="s">
        <v>62</v>
      </c>
      <c r="F71" s="71" t="s">
        <v>133</v>
      </c>
      <c r="G71" s="49">
        <f t="shared" si="91"/>
        <v>456</v>
      </c>
      <c r="H71" s="43">
        <v>396</v>
      </c>
      <c r="I71" s="43">
        <v>60</v>
      </c>
      <c r="J71" s="49">
        <f t="shared" ref="J71:J77" si="96">K71+L71+M71</f>
        <v>456</v>
      </c>
      <c r="K71" s="43">
        <v>396</v>
      </c>
      <c r="L71" s="43">
        <v>39</v>
      </c>
      <c r="M71" s="43">
        <v>21</v>
      </c>
      <c r="N71" s="49"/>
      <c r="O71" s="43"/>
      <c r="P71" s="43"/>
      <c r="Q71" s="43"/>
      <c r="R71" s="50">
        <f t="shared" si="90"/>
        <v>195</v>
      </c>
      <c r="S71" s="72">
        <f t="shared" si="82"/>
        <v>178</v>
      </c>
      <c r="T71" s="72">
        <f t="shared" si="83"/>
        <v>17</v>
      </c>
      <c r="U71" s="49"/>
      <c r="V71" s="19"/>
      <c r="W71" s="19">
        <f t="shared" si="95"/>
        <v>195</v>
      </c>
      <c r="Y71" s="21"/>
    </row>
    <row r="72" spans="1:25" s="4" customFormat="1" ht="30.75" customHeight="1">
      <c r="A72" s="69">
        <v>13</v>
      </c>
      <c r="B72" s="70" t="s">
        <v>217</v>
      </c>
      <c r="C72" s="71" t="s">
        <v>56</v>
      </c>
      <c r="D72" s="71" t="s">
        <v>218</v>
      </c>
      <c r="E72" s="71" t="s">
        <v>65</v>
      </c>
      <c r="F72" s="71" t="s">
        <v>133</v>
      </c>
      <c r="G72" s="49">
        <f t="shared" si="91"/>
        <v>810</v>
      </c>
      <c r="H72" s="43">
        <f t="shared" ref="H72:H77" si="97">K72</f>
        <v>705</v>
      </c>
      <c r="I72" s="43">
        <f t="shared" ref="I72:I77" si="98">L72+M72</f>
        <v>105</v>
      </c>
      <c r="J72" s="49">
        <f t="shared" si="96"/>
        <v>810</v>
      </c>
      <c r="K72" s="43">
        <v>705</v>
      </c>
      <c r="L72" s="43">
        <v>71</v>
      </c>
      <c r="M72" s="43">
        <v>34</v>
      </c>
      <c r="N72" s="49"/>
      <c r="O72" s="43"/>
      <c r="P72" s="43"/>
      <c r="Q72" s="43"/>
      <c r="R72" s="50">
        <f t="shared" ref="R72" si="99">S72+T72</f>
        <v>348</v>
      </c>
      <c r="S72" s="72">
        <f t="shared" si="82"/>
        <v>317</v>
      </c>
      <c r="T72" s="72">
        <f t="shared" si="83"/>
        <v>31</v>
      </c>
      <c r="U72" s="49"/>
      <c r="V72" s="42"/>
      <c r="W72" s="42">
        <f t="shared" ref="W72" si="100">S72+T72</f>
        <v>348</v>
      </c>
      <c r="Y72" s="39"/>
    </row>
    <row r="73" spans="1:25" s="4" customFormat="1" ht="38.25">
      <c r="A73" s="60">
        <v>14</v>
      </c>
      <c r="B73" s="70" t="s">
        <v>219</v>
      </c>
      <c r="C73" s="71" t="s">
        <v>56</v>
      </c>
      <c r="D73" s="71" t="s">
        <v>220</v>
      </c>
      <c r="E73" s="71" t="s">
        <v>65</v>
      </c>
      <c r="F73" s="71" t="s">
        <v>133</v>
      </c>
      <c r="G73" s="49">
        <f t="shared" si="91"/>
        <v>1231</v>
      </c>
      <c r="H73" s="43">
        <f t="shared" si="97"/>
        <v>1070</v>
      </c>
      <c r="I73" s="43">
        <f t="shared" si="98"/>
        <v>161</v>
      </c>
      <c r="J73" s="49">
        <f t="shared" si="96"/>
        <v>1231</v>
      </c>
      <c r="K73" s="43">
        <v>1070</v>
      </c>
      <c r="L73" s="43">
        <v>107</v>
      </c>
      <c r="M73" s="43">
        <v>54</v>
      </c>
      <c r="N73" s="49"/>
      <c r="O73" s="43"/>
      <c r="P73" s="43"/>
      <c r="Q73" s="43"/>
      <c r="R73" s="50">
        <f t="shared" ref="R73" si="101">S73+T73</f>
        <v>529</v>
      </c>
      <c r="S73" s="72">
        <f>ROUNDDOWN(K73*45%,0)</f>
        <v>481</v>
      </c>
      <c r="T73" s="72">
        <f t="shared" si="83"/>
        <v>48</v>
      </c>
      <c r="U73" s="49"/>
      <c r="V73" s="42"/>
      <c r="W73" s="42"/>
      <c r="Y73" s="39"/>
    </row>
    <row r="74" spans="1:25" s="20" customFormat="1" ht="38.25">
      <c r="A74" s="69">
        <v>15</v>
      </c>
      <c r="B74" s="70" t="s">
        <v>164</v>
      </c>
      <c r="C74" s="71" t="s">
        <v>140</v>
      </c>
      <c r="D74" s="71" t="s">
        <v>165</v>
      </c>
      <c r="E74" s="71" t="s">
        <v>27</v>
      </c>
      <c r="F74" s="71" t="s">
        <v>133</v>
      </c>
      <c r="G74" s="49">
        <f t="shared" si="91"/>
        <v>2657</v>
      </c>
      <c r="H74" s="43">
        <f t="shared" si="97"/>
        <v>2310</v>
      </c>
      <c r="I74" s="43">
        <f t="shared" si="98"/>
        <v>347</v>
      </c>
      <c r="J74" s="49">
        <f t="shared" si="96"/>
        <v>2657</v>
      </c>
      <c r="K74" s="43">
        <v>2310</v>
      </c>
      <c r="L74" s="43">
        <v>231</v>
      </c>
      <c r="M74" s="43">
        <v>116</v>
      </c>
      <c r="N74" s="49"/>
      <c r="O74" s="43"/>
      <c r="P74" s="43"/>
      <c r="Q74" s="43"/>
      <c r="R74" s="50">
        <f t="shared" si="90"/>
        <v>1142</v>
      </c>
      <c r="S74" s="72">
        <f t="shared" si="82"/>
        <v>1039</v>
      </c>
      <c r="T74" s="72">
        <f t="shared" si="83"/>
        <v>103</v>
      </c>
      <c r="U74" s="49"/>
      <c r="V74" s="19">
        <v>1</v>
      </c>
      <c r="W74" s="19"/>
      <c r="Y74" s="21"/>
    </row>
    <row r="75" spans="1:25" s="20" customFormat="1" ht="25.5">
      <c r="A75" s="60">
        <v>16</v>
      </c>
      <c r="B75" s="70" t="s">
        <v>194</v>
      </c>
      <c r="C75" s="71" t="s">
        <v>140</v>
      </c>
      <c r="D75" s="71" t="s">
        <v>195</v>
      </c>
      <c r="E75" s="71" t="s">
        <v>27</v>
      </c>
      <c r="F75" s="71" t="s">
        <v>133</v>
      </c>
      <c r="G75" s="49">
        <f t="shared" si="91"/>
        <v>2558</v>
      </c>
      <c r="H75" s="43">
        <f t="shared" si="97"/>
        <v>2225</v>
      </c>
      <c r="I75" s="43">
        <f t="shared" si="98"/>
        <v>333</v>
      </c>
      <c r="J75" s="49">
        <f t="shared" si="96"/>
        <v>2558</v>
      </c>
      <c r="K75" s="43">
        <v>2225</v>
      </c>
      <c r="L75" s="43">
        <v>222</v>
      </c>
      <c r="M75" s="43">
        <v>111</v>
      </c>
      <c r="N75" s="49"/>
      <c r="O75" s="43"/>
      <c r="P75" s="43"/>
      <c r="Q75" s="43"/>
      <c r="R75" s="50">
        <f t="shared" si="90"/>
        <v>1100</v>
      </c>
      <c r="S75" s="72">
        <f t="shared" si="82"/>
        <v>1001</v>
      </c>
      <c r="T75" s="72">
        <f t="shared" si="83"/>
        <v>99</v>
      </c>
      <c r="U75" s="49"/>
      <c r="V75" s="19">
        <v>2</v>
      </c>
      <c r="W75" s="19"/>
      <c r="Y75" s="21"/>
    </row>
    <row r="76" spans="1:25" s="4" customFormat="1" ht="25.5">
      <c r="A76" s="69">
        <v>17</v>
      </c>
      <c r="B76" s="70" t="s">
        <v>229</v>
      </c>
      <c r="C76" s="71" t="s">
        <v>140</v>
      </c>
      <c r="D76" s="71" t="s">
        <v>230</v>
      </c>
      <c r="E76" s="71" t="s">
        <v>27</v>
      </c>
      <c r="F76" s="71" t="s">
        <v>78</v>
      </c>
      <c r="G76" s="49">
        <f t="shared" ref="G76" si="102">H76+I76</f>
        <v>587</v>
      </c>
      <c r="H76" s="43">
        <f t="shared" si="97"/>
        <v>510</v>
      </c>
      <c r="I76" s="43">
        <f t="shared" si="98"/>
        <v>77</v>
      </c>
      <c r="J76" s="49">
        <f t="shared" si="96"/>
        <v>587</v>
      </c>
      <c r="K76" s="43">
        <v>510</v>
      </c>
      <c r="L76" s="43">
        <v>51</v>
      </c>
      <c r="M76" s="43">
        <v>26</v>
      </c>
      <c r="N76" s="49"/>
      <c r="O76" s="43"/>
      <c r="P76" s="43"/>
      <c r="Q76" s="43"/>
      <c r="R76" s="50">
        <f t="shared" ref="R76" si="103">S76+T76</f>
        <v>251</v>
      </c>
      <c r="S76" s="72">
        <f t="shared" si="82"/>
        <v>229</v>
      </c>
      <c r="T76" s="72">
        <f t="shared" si="83"/>
        <v>22</v>
      </c>
      <c r="U76" s="49"/>
      <c r="V76" s="42">
        <v>2</v>
      </c>
      <c r="W76" s="42"/>
      <c r="Y76" s="39"/>
    </row>
    <row r="77" spans="1:25" s="20" customFormat="1" ht="28.5" customHeight="1">
      <c r="A77" s="60">
        <v>18</v>
      </c>
      <c r="B77" s="70" t="s">
        <v>166</v>
      </c>
      <c r="C77" s="71" t="s">
        <v>142</v>
      </c>
      <c r="D77" s="71" t="s">
        <v>167</v>
      </c>
      <c r="E77" s="71" t="s">
        <v>67</v>
      </c>
      <c r="F77" s="71" t="s">
        <v>133</v>
      </c>
      <c r="G77" s="49">
        <f t="shared" si="91"/>
        <v>2139</v>
      </c>
      <c r="H77" s="43">
        <f t="shared" si="97"/>
        <v>1860</v>
      </c>
      <c r="I77" s="43">
        <f t="shared" si="98"/>
        <v>279</v>
      </c>
      <c r="J77" s="49">
        <f t="shared" si="96"/>
        <v>2139</v>
      </c>
      <c r="K77" s="43">
        <v>1860</v>
      </c>
      <c r="L77" s="43">
        <v>186</v>
      </c>
      <c r="M77" s="43">
        <v>93</v>
      </c>
      <c r="N77" s="49"/>
      <c r="O77" s="43"/>
      <c r="P77" s="43"/>
      <c r="Q77" s="43"/>
      <c r="R77" s="50">
        <f t="shared" si="90"/>
        <v>920</v>
      </c>
      <c r="S77" s="72">
        <f t="shared" si="82"/>
        <v>837</v>
      </c>
      <c r="T77" s="72">
        <f t="shared" si="83"/>
        <v>83</v>
      </c>
      <c r="U77" s="49"/>
      <c r="V77" s="19">
        <v>1</v>
      </c>
      <c r="W77" s="19"/>
      <c r="Y77" s="21"/>
    </row>
    <row r="78" spans="1:25" s="20" customFormat="1" ht="25.5">
      <c r="A78" s="69">
        <v>19</v>
      </c>
      <c r="B78" s="70" t="s">
        <v>168</v>
      </c>
      <c r="C78" s="71" t="s">
        <v>139</v>
      </c>
      <c r="D78" s="71" t="s">
        <v>169</v>
      </c>
      <c r="E78" s="71" t="s">
        <v>33</v>
      </c>
      <c r="F78" s="71" t="s">
        <v>133</v>
      </c>
      <c r="G78" s="49">
        <f t="shared" ref="G78:G79" si="104">H78+I78</f>
        <v>1467</v>
      </c>
      <c r="H78" s="43">
        <f t="shared" ref="H78" si="105">K78</f>
        <v>1275</v>
      </c>
      <c r="I78" s="43">
        <f t="shared" ref="I78" si="106">L78+M78</f>
        <v>192</v>
      </c>
      <c r="J78" s="49">
        <f t="shared" ref="J78" si="107">K78+L78+M78</f>
        <v>1467</v>
      </c>
      <c r="K78" s="43">
        <v>1275</v>
      </c>
      <c r="L78" s="43">
        <v>128</v>
      </c>
      <c r="M78" s="43">
        <v>64</v>
      </c>
      <c r="N78" s="49"/>
      <c r="O78" s="43"/>
      <c r="P78" s="43"/>
      <c r="Q78" s="43"/>
      <c r="R78" s="50">
        <f t="shared" si="90"/>
        <v>630</v>
      </c>
      <c r="S78" s="72">
        <f t="shared" si="82"/>
        <v>573</v>
      </c>
      <c r="T78" s="72">
        <f t="shared" si="83"/>
        <v>57</v>
      </c>
      <c r="U78" s="49"/>
      <c r="V78" s="19">
        <v>1</v>
      </c>
      <c r="W78" s="19"/>
      <c r="Y78" s="21"/>
    </row>
    <row r="79" spans="1:25" s="4" customFormat="1" ht="30" customHeight="1">
      <c r="A79" s="60">
        <v>20</v>
      </c>
      <c r="B79" s="70" t="s">
        <v>225</v>
      </c>
      <c r="C79" s="71" t="s">
        <v>139</v>
      </c>
      <c r="D79" s="71" t="s">
        <v>227</v>
      </c>
      <c r="E79" s="71" t="s">
        <v>33</v>
      </c>
      <c r="F79" s="71" t="s">
        <v>133</v>
      </c>
      <c r="G79" s="49">
        <f t="shared" si="104"/>
        <v>1173</v>
      </c>
      <c r="H79" s="43">
        <f>K79</f>
        <v>1020</v>
      </c>
      <c r="I79" s="43">
        <f>L79+M79</f>
        <v>153</v>
      </c>
      <c r="J79" s="49">
        <f t="shared" ref="J79" si="108">K79+L79+M79</f>
        <v>1173</v>
      </c>
      <c r="K79" s="43">
        <v>1020</v>
      </c>
      <c r="L79" s="43">
        <v>102</v>
      </c>
      <c r="M79" s="43">
        <v>51</v>
      </c>
      <c r="N79" s="49"/>
      <c r="O79" s="43"/>
      <c r="P79" s="43"/>
      <c r="Q79" s="43"/>
      <c r="R79" s="50">
        <f t="shared" ref="R79" si="109">S79+T79</f>
        <v>504</v>
      </c>
      <c r="S79" s="72">
        <f t="shared" si="82"/>
        <v>459</v>
      </c>
      <c r="T79" s="72">
        <f t="shared" si="83"/>
        <v>45</v>
      </c>
      <c r="U79" s="49"/>
      <c r="V79" s="42">
        <v>1</v>
      </c>
      <c r="W79" s="42"/>
      <c r="Y79" s="39"/>
    </row>
    <row r="80" spans="1:25" s="4" customFormat="1" ht="30" customHeight="1">
      <c r="A80" s="69">
        <v>21</v>
      </c>
      <c r="B80" s="70" t="s">
        <v>226</v>
      </c>
      <c r="C80" s="71" t="s">
        <v>139</v>
      </c>
      <c r="D80" s="71" t="s">
        <v>228</v>
      </c>
      <c r="E80" s="71" t="s">
        <v>33</v>
      </c>
      <c r="F80" s="71" t="s">
        <v>133</v>
      </c>
      <c r="G80" s="49">
        <f t="shared" ref="G80" si="110">H80+I80</f>
        <v>1466</v>
      </c>
      <c r="H80" s="43">
        <f>K80</f>
        <v>1275</v>
      </c>
      <c r="I80" s="43">
        <f>L80+M80</f>
        <v>191</v>
      </c>
      <c r="J80" s="49">
        <f t="shared" ref="J80" si="111">K80+L80+M80</f>
        <v>1466</v>
      </c>
      <c r="K80" s="43">
        <v>1275</v>
      </c>
      <c r="L80" s="43">
        <v>128</v>
      </c>
      <c r="M80" s="43">
        <v>63</v>
      </c>
      <c r="N80" s="49"/>
      <c r="O80" s="43"/>
      <c r="P80" s="43"/>
      <c r="Q80" s="43"/>
      <c r="R80" s="50">
        <f t="shared" ref="R80" si="112">S80+T80</f>
        <v>630</v>
      </c>
      <c r="S80" s="72">
        <f t="shared" si="82"/>
        <v>573</v>
      </c>
      <c r="T80" s="72">
        <f t="shared" si="83"/>
        <v>57</v>
      </c>
      <c r="U80" s="49"/>
      <c r="V80" s="42"/>
      <c r="W80" s="42"/>
      <c r="Y80" s="39"/>
    </row>
    <row r="81" spans="1:29" s="20" customFormat="1" ht="30" customHeight="1">
      <c r="A81" s="60">
        <v>22</v>
      </c>
      <c r="B81" s="70" t="s">
        <v>177</v>
      </c>
      <c r="C81" s="71" t="s">
        <v>135</v>
      </c>
      <c r="D81" s="71" t="s">
        <v>178</v>
      </c>
      <c r="E81" s="71" t="s">
        <v>59</v>
      </c>
      <c r="F81" s="71" t="s">
        <v>133</v>
      </c>
      <c r="G81" s="49">
        <f t="shared" ref="G81:G86" si="113">H81+I81</f>
        <v>920</v>
      </c>
      <c r="H81" s="43">
        <f t="shared" ref="H81:H82" si="114">K81</f>
        <v>800</v>
      </c>
      <c r="I81" s="43">
        <f t="shared" ref="I81:I82" si="115">L81+M81</f>
        <v>120</v>
      </c>
      <c r="J81" s="49">
        <f t="shared" ref="J81:J85" si="116">K81+L81+M81</f>
        <v>920</v>
      </c>
      <c r="K81" s="43">
        <v>800</v>
      </c>
      <c r="L81" s="43">
        <v>80</v>
      </c>
      <c r="M81" s="43">
        <v>40</v>
      </c>
      <c r="N81" s="49"/>
      <c r="O81" s="43"/>
      <c r="P81" s="43"/>
      <c r="Q81" s="43"/>
      <c r="R81" s="50">
        <f t="shared" si="90"/>
        <v>396</v>
      </c>
      <c r="S81" s="72">
        <f t="shared" si="82"/>
        <v>360</v>
      </c>
      <c r="T81" s="72">
        <f t="shared" si="83"/>
        <v>36</v>
      </c>
      <c r="U81" s="49"/>
      <c r="V81" s="19"/>
      <c r="W81" s="19"/>
      <c r="Y81" s="21"/>
    </row>
    <row r="82" spans="1:29" s="20" customFormat="1" ht="25.5">
      <c r="A82" s="69">
        <v>23</v>
      </c>
      <c r="B82" s="70" t="s">
        <v>179</v>
      </c>
      <c r="C82" s="71" t="s">
        <v>135</v>
      </c>
      <c r="D82" s="71" t="s">
        <v>180</v>
      </c>
      <c r="E82" s="71" t="s">
        <v>59</v>
      </c>
      <c r="F82" s="71" t="s">
        <v>133</v>
      </c>
      <c r="G82" s="49">
        <f t="shared" si="113"/>
        <v>1272</v>
      </c>
      <c r="H82" s="43">
        <f t="shared" si="114"/>
        <v>1105</v>
      </c>
      <c r="I82" s="43">
        <f t="shared" si="115"/>
        <v>167</v>
      </c>
      <c r="J82" s="49">
        <f t="shared" si="116"/>
        <v>1272</v>
      </c>
      <c r="K82" s="43">
        <v>1105</v>
      </c>
      <c r="L82" s="43">
        <v>111</v>
      </c>
      <c r="M82" s="43">
        <v>56</v>
      </c>
      <c r="N82" s="49"/>
      <c r="O82" s="43"/>
      <c r="P82" s="43"/>
      <c r="Q82" s="43"/>
      <c r="R82" s="50">
        <f t="shared" si="90"/>
        <v>546</v>
      </c>
      <c r="S82" s="72">
        <f t="shared" si="82"/>
        <v>497</v>
      </c>
      <c r="T82" s="72">
        <f t="shared" si="83"/>
        <v>49</v>
      </c>
      <c r="U82" s="49"/>
      <c r="V82" s="19"/>
      <c r="W82" s="19"/>
      <c r="Y82" s="21"/>
    </row>
    <row r="83" spans="1:29" s="4" customFormat="1" ht="25.5">
      <c r="A83" s="60">
        <v>24</v>
      </c>
      <c r="B83" s="70" t="s">
        <v>209</v>
      </c>
      <c r="C83" s="71" t="s">
        <v>135</v>
      </c>
      <c r="D83" s="71" t="s">
        <v>169</v>
      </c>
      <c r="E83" s="71" t="s">
        <v>59</v>
      </c>
      <c r="F83" s="71" t="s">
        <v>133</v>
      </c>
      <c r="G83" s="49">
        <f t="shared" si="113"/>
        <v>1491</v>
      </c>
      <c r="H83" s="43">
        <f>K83</f>
        <v>1296</v>
      </c>
      <c r="I83" s="43">
        <f>L83+M83</f>
        <v>195</v>
      </c>
      <c r="J83" s="49">
        <f t="shared" ref="J83" si="117">K83+L83+M83</f>
        <v>1491</v>
      </c>
      <c r="K83" s="43">
        <v>1296</v>
      </c>
      <c r="L83" s="43">
        <v>129</v>
      </c>
      <c r="M83" s="43">
        <v>66</v>
      </c>
      <c r="N83" s="49"/>
      <c r="O83" s="43"/>
      <c r="P83" s="43"/>
      <c r="Q83" s="43"/>
      <c r="R83" s="50">
        <f t="shared" ref="R83" si="118">S83+T83</f>
        <v>641</v>
      </c>
      <c r="S83" s="72">
        <f t="shared" si="82"/>
        <v>583</v>
      </c>
      <c r="T83" s="72">
        <f t="shared" si="83"/>
        <v>58</v>
      </c>
      <c r="U83" s="49"/>
      <c r="V83" s="42"/>
      <c r="W83" s="42"/>
      <c r="Y83" s="39"/>
    </row>
    <row r="84" spans="1:29" s="4" customFormat="1" ht="25.5">
      <c r="A84" s="69">
        <v>25</v>
      </c>
      <c r="B84" s="70" t="s">
        <v>210</v>
      </c>
      <c r="C84" s="71" t="s">
        <v>135</v>
      </c>
      <c r="D84" s="71" t="s">
        <v>211</v>
      </c>
      <c r="E84" s="71" t="s">
        <v>59</v>
      </c>
      <c r="F84" s="71" t="s">
        <v>133</v>
      </c>
      <c r="G84" s="49">
        <f t="shared" ref="G84" si="119">H84+I84</f>
        <v>618</v>
      </c>
      <c r="H84" s="43">
        <f>K84</f>
        <v>539</v>
      </c>
      <c r="I84" s="43">
        <f>L84+M84</f>
        <v>79</v>
      </c>
      <c r="J84" s="49">
        <f t="shared" ref="J84" si="120">K84+L84+M84</f>
        <v>618</v>
      </c>
      <c r="K84" s="43">
        <v>539</v>
      </c>
      <c r="L84" s="43">
        <v>54</v>
      </c>
      <c r="M84" s="43">
        <v>25</v>
      </c>
      <c r="N84" s="49"/>
      <c r="O84" s="43"/>
      <c r="P84" s="43"/>
      <c r="Q84" s="43"/>
      <c r="R84" s="50">
        <f t="shared" ref="R84" si="121">S84+T84</f>
        <v>266</v>
      </c>
      <c r="S84" s="72">
        <f t="shared" si="82"/>
        <v>242</v>
      </c>
      <c r="T84" s="72">
        <f t="shared" si="83"/>
        <v>24</v>
      </c>
      <c r="U84" s="49"/>
      <c r="V84" s="42"/>
      <c r="W84" s="42"/>
      <c r="Y84" s="39"/>
    </row>
    <row r="85" spans="1:29" s="20" customFormat="1" ht="25.5">
      <c r="A85" s="60">
        <v>26</v>
      </c>
      <c r="B85" s="70" t="s">
        <v>184</v>
      </c>
      <c r="C85" s="71" t="s">
        <v>134</v>
      </c>
      <c r="D85" s="71" t="s">
        <v>173</v>
      </c>
      <c r="E85" s="71" t="s">
        <v>61</v>
      </c>
      <c r="F85" s="71" t="s">
        <v>133</v>
      </c>
      <c r="G85" s="49">
        <f t="shared" si="113"/>
        <v>1137</v>
      </c>
      <c r="H85" s="43">
        <f t="shared" ref="H85" si="122">K85</f>
        <v>989</v>
      </c>
      <c r="I85" s="43">
        <f t="shared" ref="I85" si="123">L85+M85</f>
        <v>148</v>
      </c>
      <c r="J85" s="49">
        <f t="shared" si="116"/>
        <v>1137</v>
      </c>
      <c r="K85" s="43">
        <v>989</v>
      </c>
      <c r="L85" s="43">
        <v>99</v>
      </c>
      <c r="M85" s="43">
        <v>49</v>
      </c>
      <c r="N85" s="49"/>
      <c r="O85" s="43"/>
      <c r="P85" s="43"/>
      <c r="Q85" s="43"/>
      <c r="R85" s="50">
        <f t="shared" si="90"/>
        <v>489</v>
      </c>
      <c r="S85" s="72">
        <f t="shared" si="82"/>
        <v>445</v>
      </c>
      <c r="T85" s="72">
        <f t="shared" si="83"/>
        <v>44</v>
      </c>
      <c r="U85" s="49"/>
      <c r="V85" s="19"/>
      <c r="W85" s="19"/>
      <c r="Y85" s="21"/>
    </row>
    <row r="86" spans="1:29" s="20" customFormat="1" ht="32.25" customHeight="1">
      <c r="A86" s="69">
        <v>27</v>
      </c>
      <c r="B86" s="70" t="s">
        <v>202</v>
      </c>
      <c r="C86" s="71" t="s">
        <v>138</v>
      </c>
      <c r="D86" s="71" t="s">
        <v>161</v>
      </c>
      <c r="E86" s="71" t="s">
        <v>66</v>
      </c>
      <c r="F86" s="71" t="s">
        <v>133</v>
      </c>
      <c r="G86" s="49">
        <f t="shared" si="113"/>
        <v>1564</v>
      </c>
      <c r="H86" s="43">
        <f>K86</f>
        <v>1360</v>
      </c>
      <c r="I86" s="43">
        <f>L86+M86</f>
        <v>204</v>
      </c>
      <c r="J86" s="49">
        <f t="shared" ref="J86" si="124">K86+L86+M86</f>
        <v>1564</v>
      </c>
      <c r="K86" s="43">
        <v>1360</v>
      </c>
      <c r="L86" s="43">
        <v>136</v>
      </c>
      <c r="M86" s="43">
        <v>68</v>
      </c>
      <c r="N86" s="49"/>
      <c r="O86" s="43"/>
      <c r="P86" s="43"/>
      <c r="Q86" s="43"/>
      <c r="R86" s="50">
        <f t="shared" si="90"/>
        <v>673</v>
      </c>
      <c r="S86" s="72">
        <f t="shared" si="82"/>
        <v>612</v>
      </c>
      <c r="T86" s="72">
        <f t="shared" si="83"/>
        <v>61</v>
      </c>
      <c r="U86" s="49"/>
      <c r="V86" s="19"/>
      <c r="W86" s="19"/>
      <c r="Y86" s="21"/>
    </row>
    <row r="87" spans="1:29" s="4" customFormat="1" ht="30" customHeight="1">
      <c r="A87" s="60">
        <v>28</v>
      </c>
      <c r="B87" s="70" t="s">
        <v>221</v>
      </c>
      <c r="C87" s="71" t="s">
        <v>138</v>
      </c>
      <c r="D87" s="71" t="s">
        <v>222</v>
      </c>
      <c r="E87" s="71" t="s">
        <v>66</v>
      </c>
      <c r="F87" s="71" t="s">
        <v>133</v>
      </c>
      <c r="G87" s="49">
        <f t="shared" ref="G87" si="125">H87+I87</f>
        <v>567.99350000000004</v>
      </c>
      <c r="H87" s="43">
        <f>K87</f>
        <v>494</v>
      </c>
      <c r="I87" s="43">
        <f>L87+M87</f>
        <v>73.993500000000012</v>
      </c>
      <c r="J87" s="49">
        <f t="shared" ref="J87" si="126">K87+L87+M87</f>
        <v>567.99349999999993</v>
      </c>
      <c r="K87" s="43">
        <v>494</v>
      </c>
      <c r="L87" s="43">
        <v>49.329000000000008</v>
      </c>
      <c r="M87" s="43">
        <v>24.664500000000004</v>
      </c>
      <c r="N87" s="49"/>
      <c r="O87" s="43"/>
      <c r="P87" s="43"/>
      <c r="Q87" s="43"/>
      <c r="R87" s="50">
        <f t="shared" ref="R87" si="127">S87+T87</f>
        <v>244</v>
      </c>
      <c r="S87" s="72">
        <f t="shared" si="82"/>
        <v>222</v>
      </c>
      <c r="T87" s="72">
        <f t="shared" si="83"/>
        <v>22</v>
      </c>
      <c r="U87" s="49"/>
      <c r="V87" s="42"/>
      <c r="W87" s="42"/>
      <c r="Y87" s="39"/>
    </row>
    <row r="88" spans="1:29" s="4" customFormat="1" ht="25.5">
      <c r="A88" s="69">
        <v>29</v>
      </c>
      <c r="B88" s="70" t="s">
        <v>223</v>
      </c>
      <c r="C88" s="71" t="s">
        <v>138</v>
      </c>
      <c r="D88" s="71" t="s">
        <v>224</v>
      </c>
      <c r="E88" s="71" t="s">
        <v>66</v>
      </c>
      <c r="F88" s="71" t="s">
        <v>133</v>
      </c>
      <c r="G88" s="49">
        <f t="shared" ref="G88" si="128">H88+I88</f>
        <v>1307.0065</v>
      </c>
      <c r="H88" s="43">
        <f>K88</f>
        <v>1136</v>
      </c>
      <c r="I88" s="43">
        <f>L88+M88</f>
        <v>171.00649999999999</v>
      </c>
      <c r="J88" s="49">
        <f t="shared" ref="J88" si="129">K88+L88+M88</f>
        <v>1307.0065</v>
      </c>
      <c r="K88" s="43">
        <v>1136</v>
      </c>
      <c r="L88" s="43">
        <v>113.67099999999999</v>
      </c>
      <c r="M88" s="43">
        <v>57.335499999999996</v>
      </c>
      <c r="N88" s="49"/>
      <c r="O88" s="43"/>
      <c r="P88" s="43"/>
      <c r="Q88" s="43"/>
      <c r="R88" s="50">
        <f t="shared" ref="R88" si="130">S88+T88</f>
        <v>562</v>
      </c>
      <c r="S88" s="72">
        <f t="shared" si="82"/>
        <v>511</v>
      </c>
      <c r="T88" s="72">
        <f t="shared" si="83"/>
        <v>51</v>
      </c>
      <c r="U88" s="49"/>
      <c r="V88" s="42"/>
      <c r="W88" s="42"/>
      <c r="Y88" s="39"/>
    </row>
    <row r="89" spans="1:29" s="7" customFormat="1">
      <c r="A89" s="44" t="s">
        <v>72</v>
      </c>
      <c r="B89" s="91" t="s">
        <v>6</v>
      </c>
      <c r="C89" s="91"/>
      <c r="D89" s="91"/>
      <c r="E89" s="91"/>
      <c r="F89" s="91"/>
      <c r="G89" s="49">
        <f>G91+G94</f>
        <v>20869</v>
      </c>
      <c r="H89" s="49">
        <f t="shared" ref="H89:P89" si="131">H91+H94</f>
        <v>18146</v>
      </c>
      <c r="I89" s="49">
        <f t="shared" si="131"/>
        <v>2723</v>
      </c>
      <c r="J89" s="49">
        <f t="shared" si="131"/>
        <v>20464</v>
      </c>
      <c r="K89" s="49">
        <f t="shared" si="131"/>
        <v>17793</v>
      </c>
      <c r="L89" s="49">
        <f t="shared" si="131"/>
        <v>1781</v>
      </c>
      <c r="M89" s="49">
        <f t="shared" si="131"/>
        <v>890</v>
      </c>
      <c r="N89" s="49">
        <f t="shared" si="131"/>
        <v>9338</v>
      </c>
      <c r="O89" s="49">
        <f t="shared" si="131"/>
        <v>8192</v>
      </c>
      <c r="P89" s="49">
        <f t="shared" si="131"/>
        <v>1146</v>
      </c>
      <c r="Q89" s="49">
        <f t="shared" ref="Q89" si="132">Q91</f>
        <v>0</v>
      </c>
      <c r="R89" s="50">
        <f>R91+R94</f>
        <v>4702</v>
      </c>
      <c r="S89" s="50">
        <f t="shared" ref="S89:T89" si="133">S91+S94</f>
        <v>4275</v>
      </c>
      <c r="T89" s="50">
        <f t="shared" si="133"/>
        <v>427</v>
      </c>
      <c r="U89" s="49"/>
      <c r="V89" s="19"/>
      <c r="W89" s="8">
        <f>X89+Y89</f>
        <v>4702</v>
      </c>
      <c r="X89" s="8">
        <v>4275</v>
      </c>
      <c r="Y89" s="8">
        <v>427</v>
      </c>
    </row>
    <row r="90" spans="1:29" ht="27.75" customHeight="1">
      <c r="A90" s="44" t="s">
        <v>0</v>
      </c>
      <c r="B90" s="51" t="s">
        <v>170</v>
      </c>
      <c r="C90" s="78"/>
      <c r="D90" s="78"/>
      <c r="E90" s="78"/>
      <c r="F90" s="78"/>
      <c r="G90" s="49"/>
      <c r="H90" s="79"/>
      <c r="I90" s="79"/>
      <c r="J90" s="79"/>
      <c r="K90" s="79"/>
      <c r="L90" s="79"/>
      <c r="M90" s="79"/>
      <c r="N90" s="79"/>
      <c r="O90" s="79"/>
      <c r="P90" s="79"/>
      <c r="Q90" s="79"/>
      <c r="R90" s="80"/>
      <c r="S90" s="80"/>
      <c r="T90" s="80"/>
      <c r="U90" s="49"/>
      <c r="V90" s="19"/>
      <c r="W90" s="30">
        <f>R89-W89</f>
        <v>0</v>
      </c>
      <c r="X90" s="21">
        <f t="shared" ref="X90" si="134">S89-X89</f>
        <v>0</v>
      </c>
      <c r="Y90" s="21">
        <f t="shared" ref="Y90" si="135">T89-Y89</f>
        <v>0</v>
      </c>
    </row>
    <row r="91" spans="1:29" ht="17.25" customHeight="1">
      <c r="A91" s="44" t="s">
        <v>1</v>
      </c>
      <c r="B91" s="51" t="s">
        <v>127</v>
      </c>
      <c r="C91" s="78"/>
      <c r="D91" s="78"/>
      <c r="E91" s="78"/>
      <c r="F91" s="78"/>
      <c r="G91" s="49">
        <f>SUM(G92:G93)</f>
        <v>13566</v>
      </c>
      <c r="H91" s="49">
        <f t="shared" ref="H91:Q91" si="136">SUM(H92:H93)</f>
        <v>11796</v>
      </c>
      <c r="I91" s="49">
        <f t="shared" si="136"/>
        <v>1770</v>
      </c>
      <c r="J91" s="49">
        <f t="shared" si="136"/>
        <v>13161</v>
      </c>
      <c r="K91" s="49">
        <f t="shared" si="136"/>
        <v>11443</v>
      </c>
      <c r="L91" s="49">
        <f t="shared" si="136"/>
        <v>1146</v>
      </c>
      <c r="M91" s="49">
        <f t="shared" si="136"/>
        <v>572</v>
      </c>
      <c r="N91" s="49">
        <f t="shared" si="136"/>
        <v>9338</v>
      </c>
      <c r="O91" s="49">
        <f t="shared" si="136"/>
        <v>8192</v>
      </c>
      <c r="P91" s="49">
        <f t="shared" si="136"/>
        <v>1146</v>
      </c>
      <c r="Q91" s="49">
        <f t="shared" si="136"/>
        <v>0</v>
      </c>
      <c r="R91" s="50">
        <f>SUM(R92:R93)</f>
        <v>3249</v>
      </c>
      <c r="S91" s="50">
        <f t="shared" ref="S91:T91" si="137">SUM(S92:S93)</f>
        <v>3136</v>
      </c>
      <c r="T91" s="50">
        <f t="shared" si="137"/>
        <v>113</v>
      </c>
      <c r="U91" s="49"/>
      <c r="V91" s="19"/>
    </row>
    <row r="92" spans="1:29" s="15" customFormat="1" ht="76.5">
      <c r="A92" s="60">
        <v>1</v>
      </c>
      <c r="B92" s="61" t="s">
        <v>73</v>
      </c>
      <c r="C92" s="62" t="s">
        <v>32</v>
      </c>
      <c r="D92" s="81" t="s">
        <v>119</v>
      </c>
      <c r="E92" s="62" t="s">
        <v>40</v>
      </c>
      <c r="F92" s="62" t="s">
        <v>30</v>
      </c>
      <c r="G92" s="63">
        <f t="shared" ref="G92:G93" si="138">H92+I92</f>
        <v>6091</v>
      </c>
      <c r="H92" s="64">
        <v>5296</v>
      </c>
      <c r="I92" s="64">
        <v>795</v>
      </c>
      <c r="J92" s="63">
        <f t="shared" ref="J92" si="139">SUM(K92:M92)</f>
        <v>6087</v>
      </c>
      <c r="K92" s="64">
        <v>5292</v>
      </c>
      <c r="L92" s="64">
        <v>530</v>
      </c>
      <c r="M92" s="64">
        <v>265</v>
      </c>
      <c r="N92" s="63">
        <f t="shared" ref="N92" si="140">SUM(O92:Q92)</f>
        <v>4198</v>
      </c>
      <c r="O92" s="64">
        <v>3787</v>
      </c>
      <c r="P92" s="64">
        <v>411</v>
      </c>
      <c r="Q92" s="64"/>
      <c r="R92" s="65">
        <f>S92+T92</f>
        <v>1566</v>
      </c>
      <c r="S92" s="66">
        <v>1453</v>
      </c>
      <c r="T92" s="66">
        <v>113</v>
      </c>
      <c r="U92" s="63"/>
      <c r="V92" s="38"/>
      <c r="W92" s="32">
        <f t="shared" ref="W92:W93" si="141">R92+N92</f>
        <v>5764</v>
      </c>
      <c r="X92" s="33">
        <f t="shared" ref="X92:X93" si="142">W92/J92*100</f>
        <v>94.693609331361912</v>
      </c>
      <c r="Y92" s="32">
        <f>T92+S92</f>
        <v>1566</v>
      </c>
      <c r="Z92" s="33"/>
      <c r="AA92" s="33"/>
      <c r="AB92" s="33"/>
      <c r="AC92" s="33"/>
    </row>
    <row r="93" spans="1:29" s="15" customFormat="1" ht="93.75" customHeight="1">
      <c r="A93" s="60">
        <v>2</v>
      </c>
      <c r="B93" s="61" t="s">
        <v>74</v>
      </c>
      <c r="C93" s="62" t="s">
        <v>32</v>
      </c>
      <c r="D93" s="81" t="s">
        <v>120</v>
      </c>
      <c r="E93" s="62" t="s">
        <v>41</v>
      </c>
      <c r="F93" s="62" t="s">
        <v>30</v>
      </c>
      <c r="G93" s="63">
        <f t="shared" si="138"/>
        <v>7475</v>
      </c>
      <c r="H93" s="64">
        <v>6500</v>
      </c>
      <c r="I93" s="64">
        <v>975</v>
      </c>
      <c r="J93" s="63">
        <f t="shared" ref="J93:J95" si="143">SUM(K93:M93)</f>
        <v>7074</v>
      </c>
      <c r="K93" s="64">
        <v>6151</v>
      </c>
      <c r="L93" s="64">
        <v>616</v>
      </c>
      <c r="M93" s="64">
        <v>307</v>
      </c>
      <c r="N93" s="63">
        <f t="shared" ref="N93" si="144">SUM(O93:Q93)</f>
        <v>5140</v>
      </c>
      <c r="O93" s="64">
        <v>4405</v>
      </c>
      <c r="P93" s="64">
        <v>735</v>
      </c>
      <c r="Q93" s="64"/>
      <c r="R93" s="65">
        <f>S93+T93</f>
        <v>1683</v>
      </c>
      <c r="S93" s="66">
        <v>1683</v>
      </c>
      <c r="T93" s="66"/>
      <c r="U93" s="63"/>
      <c r="V93" s="38"/>
      <c r="W93" s="32">
        <f t="shared" si="141"/>
        <v>6823</v>
      </c>
      <c r="X93" s="33">
        <f t="shared" si="142"/>
        <v>96.451795306757134</v>
      </c>
      <c r="Y93" s="32">
        <f>S93+T93</f>
        <v>1683</v>
      </c>
      <c r="Z93" s="33"/>
      <c r="AA93" s="33"/>
      <c r="AB93" s="33"/>
      <c r="AC93" s="33"/>
    </row>
    <row r="94" spans="1:29" s="16" customFormat="1">
      <c r="A94" s="82" t="s">
        <v>2</v>
      </c>
      <c r="B94" s="83" t="s">
        <v>128</v>
      </c>
      <c r="C94" s="84"/>
      <c r="D94" s="84"/>
      <c r="E94" s="84"/>
      <c r="F94" s="84"/>
      <c r="G94" s="63">
        <f>G95</f>
        <v>7303</v>
      </c>
      <c r="H94" s="63">
        <f t="shared" ref="H94:P94" si="145">H95</f>
        <v>6350</v>
      </c>
      <c r="I94" s="63">
        <f t="shared" si="145"/>
        <v>953</v>
      </c>
      <c r="J94" s="63">
        <f t="shared" si="145"/>
        <v>7303</v>
      </c>
      <c r="K94" s="63">
        <f t="shared" si="145"/>
        <v>6350</v>
      </c>
      <c r="L94" s="63">
        <f t="shared" si="145"/>
        <v>635</v>
      </c>
      <c r="M94" s="63">
        <f t="shared" si="145"/>
        <v>318</v>
      </c>
      <c r="N94" s="63">
        <f t="shared" si="145"/>
        <v>0</v>
      </c>
      <c r="O94" s="63">
        <f t="shared" si="145"/>
        <v>0</v>
      </c>
      <c r="P94" s="63">
        <f t="shared" si="145"/>
        <v>0</v>
      </c>
      <c r="Q94" s="63"/>
      <c r="R94" s="65">
        <f>R95</f>
        <v>1453</v>
      </c>
      <c r="S94" s="65">
        <f t="shared" ref="S94:T94" si="146">S95</f>
        <v>1139</v>
      </c>
      <c r="T94" s="65">
        <f t="shared" si="146"/>
        <v>314</v>
      </c>
      <c r="U94" s="63"/>
      <c r="V94" s="38"/>
    </row>
    <row r="95" spans="1:29" s="15" customFormat="1" ht="89.25">
      <c r="A95" s="60">
        <v>1</v>
      </c>
      <c r="B95" s="61" t="s">
        <v>129</v>
      </c>
      <c r="C95" s="62" t="s">
        <v>32</v>
      </c>
      <c r="D95" s="81" t="s">
        <v>130</v>
      </c>
      <c r="E95" s="62" t="s">
        <v>29</v>
      </c>
      <c r="F95" s="62" t="s">
        <v>133</v>
      </c>
      <c r="G95" s="63">
        <f t="shared" ref="G95" si="147">H95+I95</f>
        <v>7303</v>
      </c>
      <c r="H95" s="64">
        <v>6350</v>
      </c>
      <c r="I95" s="64">
        <v>953</v>
      </c>
      <c r="J95" s="63">
        <f t="shared" si="143"/>
        <v>7303</v>
      </c>
      <c r="K95" s="64">
        <v>6350</v>
      </c>
      <c r="L95" s="64">
        <v>635</v>
      </c>
      <c r="M95" s="64">
        <v>318</v>
      </c>
      <c r="N95" s="63">
        <v>0</v>
      </c>
      <c r="O95" s="64">
        <v>0</v>
      </c>
      <c r="P95" s="64">
        <v>0</v>
      </c>
      <c r="Q95" s="64"/>
      <c r="R95" s="65">
        <f>S95+T95</f>
        <v>1453</v>
      </c>
      <c r="S95" s="66">
        <v>1139</v>
      </c>
      <c r="T95" s="66">
        <v>314</v>
      </c>
      <c r="U95" s="63"/>
      <c r="V95" s="38"/>
      <c r="W95" s="32"/>
      <c r="X95" s="33"/>
      <c r="Y95" s="32">
        <f>S95+T95</f>
        <v>1453</v>
      </c>
      <c r="Z95" s="33"/>
      <c r="AA95" s="33"/>
      <c r="AB95" s="33"/>
      <c r="AC95" s="33"/>
    </row>
    <row r="96" spans="1:29" s="14" customFormat="1" ht="30.75" customHeight="1">
      <c r="A96" s="44" t="s">
        <v>75</v>
      </c>
      <c r="B96" s="91" t="s">
        <v>7</v>
      </c>
      <c r="C96" s="91"/>
      <c r="D96" s="91"/>
      <c r="E96" s="91"/>
      <c r="F96" s="91"/>
      <c r="G96" s="49">
        <f t="shared" ref="G96:T96" si="148">G97+G100</f>
        <v>3770</v>
      </c>
      <c r="H96" s="49">
        <f t="shared" si="148"/>
        <v>3277</v>
      </c>
      <c r="I96" s="49">
        <f t="shared" si="148"/>
        <v>493</v>
      </c>
      <c r="J96" s="49">
        <f t="shared" si="148"/>
        <v>3770</v>
      </c>
      <c r="K96" s="49">
        <f t="shared" si="148"/>
        <v>3277</v>
      </c>
      <c r="L96" s="49">
        <f t="shared" si="148"/>
        <v>328</v>
      </c>
      <c r="M96" s="49">
        <f t="shared" si="148"/>
        <v>165</v>
      </c>
      <c r="N96" s="49">
        <f t="shared" si="148"/>
        <v>1631</v>
      </c>
      <c r="O96" s="49">
        <f t="shared" si="148"/>
        <v>1483</v>
      </c>
      <c r="P96" s="49">
        <f t="shared" si="148"/>
        <v>148</v>
      </c>
      <c r="Q96" s="49">
        <f t="shared" si="148"/>
        <v>0</v>
      </c>
      <c r="R96" s="50">
        <f t="shared" si="148"/>
        <v>1510</v>
      </c>
      <c r="S96" s="50">
        <f t="shared" si="148"/>
        <v>1373</v>
      </c>
      <c r="T96" s="50">
        <f t="shared" si="148"/>
        <v>137</v>
      </c>
      <c r="U96" s="49">
        <f>U99</f>
        <v>0</v>
      </c>
      <c r="V96" s="19"/>
      <c r="W96" s="8">
        <f>X96+Y96</f>
        <v>1510</v>
      </c>
      <c r="X96" s="8">
        <v>1373</v>
      </c>
      <c r="Y96" s="8">
        <v>137</v>
      </c>
      <c r="Z96"/>
      <c r="AA96"/>
      <c r="AB96"/>
      <c r="AC96"/>
    </row>
    <row r="97" spans="1:29" s="14" customFormat="1" ht="27.75" customHeight="1">
      <c r="A97" s="44" t="s">
        <v>0</v>
      </c>
      <c r="B97" s="51" t="s">
        <v>170</v>
      </c>
      <c r="C97" s="78"/>
      <c r="D97" s="78"/>
      <c r="E97" s="78"/>
      <c r="F97" s="78"/>
      <c r="G97" s="49">
        <f>G98</f>
        <v>2970</v>
      </c>
      <c r="H97" s="49">
        <f t="shared" ref="H97:T97" si="149">H98</f>
        <v>2582</v>
      </c>
      <c r="I97" s="49">
        <f t="shared" si="149"/>
        <v>388</v>
      </c>
      <c r="J97" s="49">
        <f t="shared" si="149"/>
        <v>2970</v>
      </c>
      <c r="K97" s="49">
        <f t="shared" si="149"/>
        <v>2582</v>
      </c>
      <c r="L97" s="49">
        <f t="shared" si="149"/>
        <v>258</v>
      </c>
      <c r="M97" s="49">
        <f t="shared" si="149"/>
        <v>130</v>
      </c>
      <c r="N97" s="49">
        <f t="shared" si="149"/>
        <v>1631</v>
      </c>
      <c r="O97" s="49">
        <f t="shared" si="149"/>
        <v>1483</v>
      </c>
      <c r="P97" s="49">
        <f t="shared" si="149"/>
        <v>148</v>
      </c>
      <c r="Q97" s="49">
        <f t="shared" si="149"/>
        <v>0</v>
      </c>
      <c r="R97" s="50">
        <f t="shared" si="149"/>
        <v>848</v>
      </c>
      <c r="S97" s="50">
        <f t="shared" si="149"/>
        <v>771</v>
      </c>
      <c r="T97" s="50">
        <f t="shared" si="149"/>
        <v>77</v>
      </c>
      <c r="U97" s="49"/>
      <c r="V97" s="19"/>
      <c r="W97" s="30">
        <f>R96-W96</f>
        <v>0</v>
      </c>
      <c r="X97" s="21">
        <f>K98/J98</f>
        <v>0.86936026936026933</v>
      </c>
      <c r="Y97" s="21">
        <f>L98/J98</f>
        <v>8.6868686868686873E-2</v>
      </c>
      <c r="Z97"/>
      <c r="AA97"/>
      <c r="AB97"/>
      <c r="AC97"/>
    </row>
    <row r="98" spans="1:29" s="4" customFormat="1" ht="81" customHeight="1">
      <c r="A98" s="69"/>
      <c r="B98" s="85" t="s">
        <v>76</v>
      </c>
      <c r="C98" s="69" t="s">
        <v>189</v>
      </c>
      <c r="D98" s="69" t="s">
        <v>121</v>
      </c>
      <c r="E98" s="69" t="s">
        <v>183</v>
      </c>
      <c r="F98" s="86" t="s">
        <v>34</v>
      </c>
      <c r="G98" s="49">
        <f t="shared" ref="G98" si="150">H98+I98</f>
        <v>2970</v>
      </c>
      <c r="H98" s="43">
        <f t="shared" ref="H98" si="151">K98</f>
        <v>2582</v>
      </c>
      <c r="I98" s="43">
        <f t="shared" ref="I98" si="152">L98+M98</f>
        <v>388</v>
      </c>
      <c r="J98" s="49">
        <f t="shared" ref="J98" si="153">SUM(K98:M98)</f>
        <v>2970</v>
      </c>
      <c r="K98" s="43">
        <v>2582</v>
      </c>
      <c r="L98" s="43">
        <v>258</v>
      </c>
      <c r="M98" s="43">
        <v>130</v>
      </c>
      <c r="N98" s="49">
        <f t="shared" ref="N98" si="154">SUM(O98:Q98)</f>
        <v>1631</v>
      </c>
      <c r="O98" s="43">
        <f>591+892</f>
        <v>1483</v>
      </c>
      <c r="P98" s="43">
        <f>59+89</f>
        <v>148</v>
      </c>
      <c r="Q98" s="43"/>
      <c r="R98" s="50">
        <f>S98+T98</f>
        <v>848</v>
      </c>
      <c r="S98" s="72">
        <f>2254-O98</f>
        <v>771</v>
      </c>
      <c r="T98" s="72">
        <v>77</v>
      </c>
      <c r="U98" s="49"/>
      <c r="V98" s="19">
        <v>2592</v>
      </c>
      <c r="W98" s="30"/>
      <c r="X98" s="20">
        <f>V98*X97</f>
        <v>2253.3818181818183</v>
      </c>
      <c r="Y98" s="21">
        <f>Y97*V98</f>
        <v>225.16363636363639</v>
      </c>
      <c r="Z98" s="21">
        <f>V98-X98-Y98</f>
        <v>113.45454545454533</v>
      </c>
      <c r="AA98" s="20"/>
      <c r="AB98" s="20"/>
      <c r="AC98" s="20"/>
    </row>
    <row r="99" spans="1:29" s="14" customFormat="1" ht="29.25" customHeight="1">
      <c r="A99" s="44" t="s">
        <v>1</v>
      </c>
      <c r="B99" s="51" t="s">
        <v>127</v>
      </c>
      <c r="C99" s="78"/>
      <c r="D99" s="78"/>
      <c r="E99" s="78"/>
      <c r="F99" s="78"/>
      <c r="G99" s="49"/>
      <c r="H99" s="49"/>
      <c r="I99" s="49"/>
      <c r="J99" s="49"/>
      <c r="K99" s="49"/>
      <c r="L99" s="49"/>
      <c r="M99" s="49"/>
      <c r="N99" s="49"/>
      <c r="O99" s="49"/>
      <c r="P99" s="49"/>
      <c r="Q99" s="49"/>
      <c r="R99" s="50"/>
      <c r="S99" s="50"/>
      <c r="T99" s="50"/>
      <c r="U99" s="49"/>
      <c r="V99" s="19"/>
      <c r="W99" s="10"/>
      <c r="X99"/>
      <c r="Y99"/>
      <c r="Z99"/>
      <c r="AA99"/>
      <c r="AB99"/>
      <c r="AC99"/>
    </row>
    <row r="100" spans="1:29" s="14" customFormat="1" ht="30.75" customHeight="1">
      <c r="A100" s="44" t="s">
        <v>2</v>
      </c>
      <c r="B100" s="51" t="s">
        <v>128</v>
      </c>
      <c r="C100" s="78"/>
      <c r="D100" s="78"/>
      <c r="E100" s="78"/>
      <c r="F100" s="78"/>
      <c r="G100" s="49">
        <f>G101</f>
        <v>800</v>
      </c>
      <c r="H100" s="49">
        <f t="shared" ref="H100:T100" si="155">H101</f>
        <v>695</v>
      </c>
      <c r="I100" s="49">
        <f t="shared" si="155"/>
        <v>105</v>
      </c>
      <c r="J100" s="49">
        <f t="shared" si="155"/>
        <v>800</v>
      </c>
      <c r="K100" s="49">
        <f t="shared" si="155"/>
        <v>695</v>
      </c>
      <c r="L100" s="49">
        <f t="shared" si="155"/>
        <v>70</v>
      </c>
      <c r="M100" s="49">
        <f t="shared" si="155"/>
        <v>35</v>
      </c>
      <c r="N100" s="49">
        <f t="shared" si="155"/>
        <v>0</v>
      </c>
      <c r="O100" s="49">
        <f t="shared" si="155"/>
        <v>0</v>
      </c>
      <c r="P100" s="49">
        <f t="shared" si="155"/>
        <v>0</v>
      </c>
      <c r="Q100" s="49">
        <f t="shared" si="155"/>
        <v>0</v>
      </c>
      <c r="R100" s="50">
        <f t="shared" si="155"/>
        <v>662</v>
      </c>
      <c r="S100" s="50">
        <f t="shared" si="155"/>
        <v>602</v>
      </c>
      <c r="T100" s="50">
        <f t="shared" si="155"/>
        <v>60</v>
      </c>
      <c r="U100" s="49"/>
      <c r="V100" s="19"/>
      <c r="W100" s="10"/>
      <c r="X100"/>
      <c r="Y100"/>
      <c r="Z100"/>
      <c r="AA100"/>
      <c r="AB100"/>
      <c r="AC100"/>
    </row>
    <row r="101" spans="1:29" s="4" customFormat="1" ht="105.75" customHeight="1">
      <c r="A101" s="69"/>
      <c r="B101" s="85" t="s">
        <v>153</v>
      </c>
      <c r="C101" s="69" t="s">
        <v>154</v>
      </c>
      <c r="D101" s="69" t="s">
        <v>155</v>
      </c>
      <c r="E101" s="45" t="s">
        <v>233</v>
      </c>
      <c r="F101" s="86" t="s">
        <v>133</v>
      </c>
      <c r="G101" s="49">
        <v>800</v>
      </c>
      <c r="H101" s="43">
        <v>695</v>
      </c>
      <c r="I101" s="43">
        <v>105</v>
      </c>
      <c r="J101" s="49">
        <f>K101+L101+M101</f>
        <v>800</v>
      </c>
      <c r="K101" s="43">
        <v>695</v>
      </c>
      <c r="L101" s="43">
        <v>70</v>
      </c>
      <c r="M101" s="43">
        <v>35</v>
      </c>
      <c r="N101" s="49">
        <v>0</v>
      </c>
      <c r="O101" s="43">
        <v>0</v>
      </c>
      <c r="P101" s="43">
        <v>0</v>
      </c>
      <c r="Q101" s="43">
        <v>0</v>
      </c>
      <c r="R101" s="50">
        <f>S101+T101</f>
        <v>662</v>
      </c>
      <c r="S101" s="72">
        <f>X96-S97</f>
        <v>602</v>
      </c>
      <c r="T101" s="72">
        <f>Y96-T97</f>
        <v>60</v>
      </c>
      <c r="U101" s="49"/>
      <c r="V101" s="19"/>
      <c r="W101" s="30">
        <f>S101+T101</f>
        <v>662</v>
      </c>
      <c r="X101" s="20"/>
      <c r="Y101" s="21"/>
      <c r="Z101" s="20"/>
      <c r="AA101" s="20"/>
      <c r="AB101" s="20"/>
      <c r="AC101" s="20"/>
    </row>
    <row r="102" spans="1:29" ht="39" customHeight="1">
      <c r="A102" s="44" t="s">
        <v>77</v>
      </c>
      <c r="B102" s="91" t="s">
        <v>8</v>
      </c>
      <c r="C102" s="91">
        <v>7572</v>
      </c>
      <c r="D102" s="91"/>
      <c r="E102" s="91">
        <v>6584</v>
      </c>
      <c r="F102" s="91">
        <v>692</v>
      </c>
      <c r="G102" s="49">
        <f>G103</f>
        <v>8086</v>
      </c>
      <c r="H102" s="49">
        <f t="shared" ref="H102:T102" si="156">H103</f>
        <v>7335</v>
      </c>
      <c r="I102" s="49">
        <f t="shared" si="156"/>
        <v>751</v>
      </c>
      <c r="J102" s="49">
        <f t="shared" si="156"/>
        <v>8086</v>
      </c>
      <c r="K102" s="49">
        <f t="shared" si="156"/>
        <v>7335</v>
      </c>
      <c r="L102" s="49">
        <f t="shared" si="156"/>
        <v>500</v>
      </c>
      <c r="M102" s="49">
        <f t="shared" si="156"/>
        <v>251</v>
      </c>
      <c r="N102" s="49">
        <f t="shared" si="156"/>
        <v>0</v>
      </c>
      <c r="O102" s="49">
        <f t="shared" si="156"/>
        <v>0</v>
      </c>
      <c r="P102" s="49">
        <f t="shared" si="156"/>
        <v>0</v>
      </c>
      <c r="Q102" s="49">
        <f t="shared" si="156"/>
        <v>0</v>
      </c>
      <c r="R102" s="50">
        <f t="shared" si="156"/>
        <v>6284</v>
      </c>
      <c r="S102" s="50">
        <f t="shared" si="156"/>
        <v>5784</v>
      </c>
      <c r="T102" s="50">
        <f t="shared" si="156"/>
        <v>500</v>
      </c>
      <c r="U102" s="49"/>
      <c r="V102" s="19"/>
      <c r="W102" s="28"/>
      <c r="X102" s="29"/>
      <c r="Y102" s="29"/>
    </row>
    <row r="103" spans="1:29" s="2" customFormat="1" ht="45.75" customHeight="1">
      <c r="A103" s="87"/>
      <c r="B103" s="89" t="s">
        <v>190</v>
      </c>
      <c r="C103" s="89">
        <v>7572</v>
      </c>
      <c r="D103" s="89"/>
      <c r="E103" s="89">
        <v>6584</v>
      </c>
      <c r="F103" s="89">
        <v>692</v>
      </c>
      <c r="G103" s="49">
        <f t="shared" ref="G103" si="157">H103+I103</f>
        <v>8086</v>
      </c>
      <c r="H103" s="43">
        <v>7335</v>
      </c>
      <c r="I103" s="43">
        <v>751</v>
      </c>
      <c r="J103" s="49">
        <f t="shared" ref="J103" si="158">SUM(K103:M103)</f>
        <v>8086</v>
      </c>
      <c r="K103" s="43">
        <v>7335</v>
      </c>
      <c r="L103" s="43">
        <v>500</v>
      </c>
      <c r="M103" s="43">
        <v>251</v>
      </c>
      <c r="N103" s="49">
        <f t="shared" ref="N103" si="159">SUM(O103:Q103)</f>
        <v>0</v>
      </c>
      <c r="O103" s="43">
        <v>0</v>
      </c>
      <c r="P103" s="43">
        <v>0</v>
      </c>
      <c r="Q103" s="43"/>
      <c r="R103" s="50">
        <v>6284</v>
      </c>
      <c r="S103" s="72">
        <v>5784</v>
      </c>
      <c r="T103" s="72">
        <v>500</v>
      </c>
      <c r="U103" s="88"/>
      <c r="V103" s="13"/>
      <c r="W103" s="30">
        <f t="shared" ref="W103" si="160">R103+N103</f>
        <v>6284</v>
      </c>
      <c r="X103" s="20">
        <f t="shared" ref="X103" si="161">W103/J103*100</f>
        <v>77.714568389809543</v>
      </c>
    </row>
  </sheetData>
  <mergeCells count="33">
    <mergeCell ref="B24:F24"/>
    <mergeCell ref="B8:F8"/>
    <mergeCell ref="A7:B7"/>
    <mergeCell ref="A2:T2"/>
    <mergeCell ref="K3:L3"/>
    <mergeCell ref="S3:T3"/>
    <mergeCell ref="C4:C6"/>
    <mergeCell ref="R5:R6"/>
    <mergeCell ref="A4:A6"/>
    <mergeCell ref="B4:B6"/>
    <mergeCell ref="E4:E6"/>
    <mergeCell ref="F4:F6"/>
    <mergeCell ref="G4:I4"/>
    <mergeCell ref="N4:Q4"/>
    <mergeCell ref="N5:N6"/>
    <mergeCell ref="O5:Q5"/>
    <mergeCell ref="R4:U4"/>
    <mergeCell ref="S5:U5"/>
    <mergeCell ref="A1:U1"/>
    <mergeCell ref="G5:G6"/>
    <mergeCell ref="H5:I5"/>
    <mergeCell ref="J5:J6"/>
    <mergeCell ref="J4:M4"/>
    <mergeCell ref="K5:M5"/>
    <mergeCell ref="D4:D6"/>
    <mergeCell ref="B103:F103"/>
    <mergeCell ref="B32:F32"/>
    <mergeCell ref="B31:F31"/>
    <mergeCell ref="B89:F89"/>
    <mergeCell ref="B96:F96"/>
    <mergeCell ref="B102:F102"/>
    <mergeCell ref="B50:D50"/>
    <mergeCell ref="B33:E33"/>
  </mergeCells>
  <pageMargins left="0.49" right="0" top="0.51181102362204722" bottom="0.23622047244094491" header="0.31496062992125984" footer="0.31496062992125984"/>
  <pageSetup paperSize="9" scale="71" orientation="landscape" verticalDpi="0" r:id="rId1"/>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DTTS</vt:lpstr>
      <vt:lpstr>DTTS!Print_Area</vt:lpstr>
      <vt:lpstr>DTTS!Print_Titles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2024-02-16T09:31:55Z</cp:lastPrinted>
  <dcterms:created xsi:type="dcterms:W3CDTF">2022-06-07T12:11:02Z</dcterms:created>
  <dcterms:modified xsi:type="dcterms:W3CDTF">2024-02-16T09:33:19Z</dcterms:modified>
</cp:coreProperties>
</file>